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3 REGIONES" sheetId="1" state="visible" r:id="rId2"/>
    <sheet name="REGIONES Y PRECINTOS" sheetId="2" state="visible" r:id="rId3"/>
    <sheet name="DELITOS Y MESES" sheetId="3" state="visible" r:id="rId4"/>
    <sheet name="MUNICIPIOS" sheetId="4" state="visible" r:id="rId5"/>
    <sheet name="Edad &amp; Sexo (Total)" sheetId="5" state="visible" r:id="rId6"/>
    <sheet name="Motivo y Sexo " sheetId="6" state="visible" r:id="rId7"/>
    <sheet name="CONTACTO" sheetId="7" state="visible" r:id="rId8"/>
    <sheet name="DEFINICIÓN DELITOS TIPO I" sheetId="8" state="visible" r:id="rId9"/>
  </sheets>
  <definedNames>
    <definedName function="false" hidden="false" localSheetId="0" name="_xlnm.Print_Area" vbProcedure="false">'13 REGIONES'!$A$1:$I$263</definedName>
    <definedName function="false" hidden="false" localSheetId="4" name="_xlnm.Print_Area" vbProcedure="false">'Edad &amp; Sexo (Total)'!$A$5:$E$25</definedName>
    <definedName function="false" hidden="false" localSheetId="5" name="_xlnm.Print_Area" vbProcedure="false">'Motivo y Sexo '!$A$1:$R$21</definedName>
    <definedName function="false" hidden="false" localSheetId="3" name="_xlnm.Print_Area" vbProcedure="false">MUNICIPIOS!$A$1:$J$81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<sst xmlns="http://schemas.openxmlformats.org/spreadsheetml/2006/main" count="1967" uniqueCount="349">
  <si>
    <t xml:space="preserve">RELACION DE DELITOS TIPO I INFORMADOS EN LA REGION DE SAN JUAN</t>
  </si>
  <si>
    <t xml:space="preserve">Año 2015 -2016</t>
  </si>
  <si>
    <t xml:space="preserve"> </t>
  </si>
  <si>
    <t xml:space="preserve">Datos Preliminares</t>
  </si>
  <si>
    <t xml:space="preserve">     Mes del 1 al 31 de octubre</t>
  </si>
  <si>
    <t xml:space="preserve">Acumulado al 31 de octubre</t>
  </si>
  <si>
    <t xml:space="preserve">          cambio</t>
  </si>
  <si>
    <t xml:space="preserve">TIPO DE DELITO</t>
  </si>
  <si>
    <t xml:space="preserve">número</t>
  </si>
  <si>
    <t xml:space="preserve">%</t>
  </si>
  <si>
    <t xml:space="preserve">TOTAL TIPO I</t>
  </si>
  <si>
    <t xml:space="preserve">DELITOS DE VIOLENCIA</t>
  </si>
  <si>
    <t xml:space="preserve">Asesinatos y Homicidios</t>
  </si>
  <si>
    <t xml:space="preserve">Violaciones por la Fuerza</t>
  </si>
  <si>
    <t xml:space="preserve">Trata Humana</t>
  </si>
  <si>
    <t xml:space="preserve">Robos</t>
  </si>
  <si>
    <t xml:space="preserve">Agresiones Agravadas</t>
  </si>
  <si>
    <t xml:space="preserve">DELITOS CONTRA LA PROPIEDAD</t>
  </si>
  <si>
    <t xml:space="preserve">Escalamientos</t>
  </si>
  <si>
    <t xml:space="preserve">Apropiaciones Ilegales</t>
  </si>
  <si>
    <t xml:space="preserve">Hurto de Autos</t>
  </si>
  <si>
    <t xml:space="preserve">RELACION DE DELITOS TIPO I INFORMADOS EN LA REGION DE ARECIBO</t>
  </si>
  <si>
    <t xml:space="preserve">RELACION DE DELITOS TIPO I INFORMADOS EN LA REGION DE PONCE</t>
  </si>
  <si>
    <t xml:space="preserve">RELACION DE DELITOS TIPO I INFORMADOS EN LA REGION DE HUMACAO</t>
  </si>
  <si>
    <t xml:space="preserve">RELACION DE DELITOS TIPO I INFORMADOS EN LA REGION DE MAYAGUEZ</t>
  </si>
  <si>
    <t xml:space="preserve">RELACION DE DELITOS TIPO I INFORMADOS EN LA REGION DE CAGUAS</t>
  </si>
  <si>
    <t xml:space="preserve">RELACION DE DELITOS TIPO I INFORMADOS EN LA REGION DE BAYAMON</t>
  </si>
  <si>
    <t xml:space="preserve">RELACION DE DELITOS TIPO I INFORMADOS EN LA REGION DE CAROLINA</t>
  </si>
  <si>
    <t xml:space="preserve">RELACION DE DELITOS TIPO I INFORMADOS EN LA REGION DE GUAYAMA</t>
  </si>
  <si>
    <t xml:space="preserve">RELACION DE DELITOS TIPO I INFORMADOS EN LA REGION DE AGUADILLA</t>
  </si>
  <si>
    <t xml:space="preserve">RELACION DE DELITOS TIPO I INFORMADOS EN LA REGION DE UTUADO</t>
  </si>
  <si>
    <t xml:space="preserve">RELACION DE DELITOS TIPO I INFORMADOS EN LA REGION DE FAJARDO</t>
  </si>
  <si>
    <t xml:space="preserve">RELACION DE DELITOS TIPO I INFORMADOS EN LA  REGION DE AIBONITO</t>
  </si>
  <si>
    <t xml:space="preserve">RELACION DE DELITOS TIPO I INFORMADOS EN PUERTO RICO</t>
  </si>
  <si>
    <t xml:space="preserve">POLICIA DE PUERTO RICO</t>
  </si>
  <si>
    <t xml:space="preserve">DELITOS TIPO I COMETIDOS EN PUERTO RICO</t>
  </si>
  <si>
    <t xml:space="preserve"> AÑOS 2015 Y 2016</t>
  </si>
  <si>
    <t xml:space="preserve">Datos preliminares del 1ro. de enero al 31 de octubre de 2016.</t>
  </si>
  <si>
    <t xml:space="preserve">SAN JUAN</t>
  </si>
  <si>
    <t xml:space="preserve">ARECIBO</t>
  </si>
  <si>
    <t xml:space="preserve">PONCE</t>
  </si>
  <si>
    <t xml:space="preserve">HUMACAO</t>
  </si>
  <si>
    <t xml:space="preserve">MAYAGÜEZ</t>
  </si>
  <si>
    <t xml:space="preserve">CAGUAS</t>
  </si>
  <si>
    <t xml:space="preserve">BAYAMON</t>
  </si>
  <si>
    <t xml:space="preserve">CAROLINA</t>
  </si>
  <si>
    <t xml:space="preserve">GUAYAMA</t>
  </si>
  <si>
    <t xml:space="preserve">AGUADILLA</t>
  </si>
  <si>
    <t xml:space="preserve">UTUADO</t>
  </si>
  <si>
    <t xml:space="preserve">FAJARDO</t>
  </si>
  <si>
    <t xml:space="preserve">AIBONITO</t>
  </si>
  <si>
    <t xml:space="preserve">TOTAL </t>
  </si>
  <si>
    <t xml:space="preserve">TOTAL</t>
  </si>
  <si>
    <t xml:space="preserve">cambio</t>
  </si>
  <si>
    <t xml:space="preserve">Asesinato,</t>
  </si>
  <si>
    <t xml:space="preserve">Homicidio</t>
  </si>
  <si>
    <t xml:space="preserve">Violación por</t>
  </si>
  <si>
    <t xml:space="preserve">la Fuerza</t>
  </si>
  <si>
    <t xml:space="preserve">Trata</t>
  </si>
  <si>
    <t xml:space="preserve">Humana</t>
  </si>
  <si>
    <t xml:space="preserve">Robo</t>
  </si>
  <si>
    <t xml:space="preserve">Agresión</t>
  </si>
  <si>
    <t xml:space="preserve">Agravada</t>
  </si>
  <si>
    <t xml:space="preserve">Escalamiento</t>
  </si>
  <si>
    <t xml:space="preserve">Apropiación</t>
  </si>
  <si>
    <t xml:space="preserve">Ilegal</t>
  </si>
  <si>
    <t xml:space="preserve">Hurto de</t>
  </si>
  <si>
    <t xml:space="preserve">Auto</t>
  </si>
  <si>
    <t xml:space="preserve">REGION DE SAN JUAN</t>
  </si>
  <si>
    <t xml:space="preserve">San Juan</t>
  </si>
  <si>
    <t xml:space="preserve">Parada  19</t>
  </si>
  <si>
    <t xml:space="preserve">Calle Loiza</t>
  </si>
  <si>
    <t xml:space="preserve">Barrio
Obrero</t>
  </si>
  <si>
    <t xml:space="preserve">Rio Piedras</t>
  </si>
  <si>
    <t xml:space="preserve">Cupey</t>
  </si>
  <si>
    <t xml:space="preserve">Monte
Hatillo</t>
  </si>
  <si>
    <t xml:space="preserve">Caimito</t>
  </si>
  <si>
    <t xml:space="preserve">Hato Rey E
Este</t>
  </si>
  <si>
    <t xml:space="preserve">Puerto
Nuevo</t>
  </si>
  <si>
    <t xml:space="preserve">Hato Rey O
Oeste</t>
  </si>
  <si>
    <t xml:space="preserve">Trata </t>
  </si>
  <si>
    <t xml:space="preserve">REGION DE ARECIBO</t>
  </si>
  <si>
    <t xml:space="preserve">Arecibo</t>
  </si>
  <si>
    <t xml:space="preserve">Sabana
Hoyos</t>
  </si>
  <si>
    <t xml:space="preserve">Barceloneta</t>
  </si>
  <si>
    <t xml:space="preserve">Camuy</t>
  </si>
  <si>
    <t xml:space="preserve">Ciales</t>
  </si>
  <si>
    <t xml:space="preserve">Florida</t>
  </si>
  <si>
    <t xml:space="preserve">Hatillo</t>
  </si>
  <si>
    <t xml:space="preserve">Manatí</t>
  </si>
  <si>
    <t xml:space="preserve">Morovis</t>
  </si>
  <si>
    <t xml:space="preserve">Quebradillas</t>
  </si>
  <si>
    <t xml:space="preserve">REGION DE PONCE</t>
  </si>
  <si>
    <t xml:space="preserve">Guánica</t>
  </si>
  <si>
    <t xml:space="preserve">Guayanilla</t>
  </si>
  <si>
    <t xml:space="preserve">Juana Díaz</t>
  </si>
  <si>
    <t xml:space="preserve">Peñuelas</t>
  </si>
  <si>
    <t xml:space="preserve">Santa
Isabel</t>
  </si>
  <si>
    <t xml:space="preserve">Villalba</t>
  </si>
  <si>
    <t xml:space="preserve">Yauco</t>
  </si>
  <si>
    <t xml:space="preserve">Ponce</t>
  </si>
  <si>
    <t xml:space="preserve">La Playa</t>
  </si>
  <si>
    <t xml:space="preserve">El Tuque</t>
  </si>
  <si>
    <t xml:space="preserve">La Rambla</t>
  </si>
  <si>
    <t xml:space="preserve">Morell
Campos</t>
  </si>
  <si>
    <t xml:space="preserve">REGION DE HUMACAO</t>
  </si>
  <si>
    <t xml:space="preserve">Humacao</t>
  </si>
  <si>
    <t xml:space="preserve">Las Piedras</t>
  </si>
  <si>
    <t xml:space="preserve">Maunabo</t>
  </si>
  <si>
    <t xml:space="preserve">Naguabo</t>
  </si>
  <si>
    <t xml:space="preserve">Yabucoa</t>
  </si>
  <si>
    <t xml:space="preserve">REGION DE MAYAGUEZ</t>
  </si>
  <si>
    <t xml:space="preserve">Añasco</t>
  </si>
  <si>
    <t xml:space="preserve">Cabo Rojo</t>
  </si>
  <si>
    <t xml:space="preserve">Hormigueros</t>
  </si>
  <si>
    <t xml:space="preserve">Lajas</t>
  </si>
  <si>
    <t xml:space="preserve">Las Marías</t>
  </si>
  <si>
    <t xml:space="preserve">Maricao</t>
  </si>
  <si>
    <t xml:space="preserve">Mayagüez
Norte</t>
  </si>
  <si>
    <t xml:space="preserve">Mayagüez
Sur</t>
  </si>
  <si>
    <t xml:space="preserve">Sabana Grande</t>
  </si>
  <si>
    <t xml:space="preserve">San Germán</t>
  </si>
  <si>
    <t xml:space="preserve">REGION DE CAGUAS</t>
  </si>
  <si>
    <t xml:space="preserve">Aguas
Buenas</t>
  </si>
  <si>
    <t xml:space="preserve">Caguas</t>
  </si>
  <si>
    <t xml:space="preserve">Cidra</t>
  </si>
  <si>
    <t xml:space="preserve">Gurabo</t>
  </si>
  <si>
    <t xml:space="preserve">Juncos</t>
  </si>
  <si>
    <t xml:space="preserve">San Lorenzo</t>
  </si>
  <si>
    <t xml:space="preserve">                                                                                                                                                                                                                                                                                                                                                                                                                                                                                                                                                                                                                                                                                                                                                                                                                                                                                                                                                                                                                                                                                                                                                                                                                                                                                                                    </t>
  </si>
  <si>
    <t xml:space="preserve">REGION DE BAYAMON</t>
  </si>
  <si>
    <t xml:space="preserve">Bayamón
Norte</t>
  </si>
  <si>
    <t xml:space="preserve">Bayamón
Sur</t>
  </si>
  <si>
    <t xml:space="preserve">Bayamón
Oeste</t>
  </si>
  <si>
    <t xml:space="preserve">Dajaos</t>
  </si>
  <si>
    <t xml:space="preserve">Cataño</t>
  </si>
  <si>
    <t xml:space="preserve">Corozal</t>
  </si>
  <si>
    <t xml:space="preserve">Dorado</t>
  </si>
  <si>
    <t xml:space="preserve">Guaynabo</t>
  </si>
  <si>
    <t xml:space="preserve">Juan
Domingo</t>
  </si>
  <si>
    <t xml:space="preserve">Naranjito</t>
  </si>
  <si>
    <t xml:space="preserve">Cedro Arriba</t>
  </si>
  <si>
    <t xml:space="preserve">Toa Alta</t>
  </si>
  <si>
    <t xml:space="preserve">Toa Baja</t>
  </si>
  <si>
    <t xml:space="preserve">Levittown</t>
  </si>
  <si>
    <t xml:space="preserve">Vega Alta</t>
  </si>
  <si>
    <t xml:space="preserve">Vega Baja</t>
  </si>
  <si>
    <t xml:space="preserve">REGION DE CAROLINA</t>
  </si>
  <si>
    <t xml:space="preserve">Aeropuerto</t>
  </si>
  <si>
    <t xml:space="preserve">Carolina 
Norte</t>
  </si>
  <si>
    <t xml:space="preserve">Carolina
Sur</t>
  </si>
  <si>
    <t xml:space="preserve">Carolina
Oeste</t>
  </si>
  <si>
    <t xml:space="preserve">Zona
Turística</t>
  </si>
  <si>
    <t xml:space="preserve">Trujillo Alto N</t>
  </si>
  <si>
    <t xml:space="preserve">Trujillo Alto S</t>
  </si>
  <si>
    <t xml:space="preserve">Canóvanas</t>
  </si>
  <si>
    <t xml:space="preserve">Loiza</t>
  </si>
  <si>
    <t xml:space="preserve">REGION DE GUAYAMA</t>
  </si>
  <si>
    <t xml:space="preserve">Arroyo</t>
  </si>
  <si>
    <t xml:space="preserve">Cayey</t>
  </si>
  <si>
    <t xml:space="preserve">Guayama</t>
  </si>
  <si>
    <t xml:space="preserve">Patillas </t>
  </si>
  <si>
    <t xml:space="preserve">Salinas</t>
  </si>
  <si>
    <t xml:space="preserve">REGION DE AGUADILLA</t>
  </si>
  <si>
    <t xml:space="preserve">Aguada</t>
  </si>
  <si>
    <t xml:space="preserve">Aguadilla</t>
  </si>
  <si>
    <t xml:space="preserve">Base
Ramey</t>
  </si>
  <si>
    <t xml:space="preserve">Isabela</t>
  </si>
  <si>
    <t xml:space="preserve">Moca</t>
  </si>
  <si>
    <t xml:space="preserve">Rincón</t>
  </si>
  <si>
    <t xml:space="preserve">San
Sebastían</t>
  </si>
  <si>
    <t xml:space="preserve">REGION DE UTUADO</t>
  </si>
  <si>
    <t xml:space="preserve">Adjuntas</t>
  </si>
  <si>
    <t xml:space="preserve">Jayuya</t>
  </si>
  <si>
    <t xml:space="preserve">Lares</t>
  </si>
  <si>
    <t xml:space="preserve">Castañer</t>
  </si>
  <si>
    <t xml:space="preserve">Utuado</t>
  </si>
  <si>
    <t xml:space="preserve">Mameyes</t>
  </si>
  <si>
    <t xml:space="preserve">Angeles</t>
  </si>
  <si>
    <t xml:space="preserve">REGION DE FAJARDO</t>
  </si>
  <si>
    <t xml:space="preserve">Ceiba</t>
  </si>
  <si>
    <t xml:space="preserve">Culebra</t>
  </si>
  <si>
    <t xml:space="preserve">Fajardo</t>
  </si>
  <si>
    <t xml:space="preserve">Luquillo</t>
  </si>
  <si>
    <t xml:space="preserve">Rio Grande</t>
  </si>
  <si>
    <t xml:space="preserve">Vieques</t>
  </si>
  <si>
    <t xml:space="preserve">   </t>
  </si>
  <si>
    <t xml:space="preserve">                                                                                                                                                                                                                                                                                                                                                                                                                  </t>
  </si>
  <si>
    <t xml:space="preserve">REGION DE AIBONITO</t>
  </si>
  <si>
    <t xml:space="preserve">Aibonito</t>
  </si>
  <si>
    <t xml:space="preserve">Barranquitas</t>
  </si>
  <si>
    <t xml:space="preserve">Coamo</t>
  </si>
  <si>
    <t xml:space="preserve">Comerío</t>
  </si>
  <si>
    <t xml:space="preserve">Orocovis</t>
  </si>
  <si>
    <t xml:space="preserve">DELITOS TIPO I INFORMADOS EN PUERTO RICO</t>
  </si>
  <si>
    <t xml:space="preserve">AÑOS 2015 Y 2016</t>
  </si>
  <si>
    <t xml:space="preserve">AÑO</t>
  </si>
  <si>
    <t xml:space="preserve">ENE</t>
  </si>
  <si>
    <t xml:space="preserve">FEB</t>
  </si>
  <si>
    <t xml:space="preserve">MAR</t>
  </si>
  <si>
    <t xml:space="preserve">ABR</t>
  </si>
  <si>
    <t xml:space="preserve">MAY</t>
  </si>
  <si>
    <t xml:space="preserve">JUN</t>
  </si>
  <si>
    <t xml:space="preserve">JUL</t>
  </si>
  <si>
    <t xml:space="preserve">AGO</t>
  </si>
  <si>
    <t xml:space="preserve">SEP</t>
  </si>
  <si>
    <t xml:space="preserve">OCT</t>
  </si>
  <si>
    <t xml:space="preserve">NOV</t>
  </si>
  <si>
    <t xml:space="preserve">DIC</t>
  </si>
  <si>
    <t xml:space="preserve">TIPO I</t>
  </si>
  <si>
    <t xml:space="preserve">CAMBIO</t>
  </si>
  <si>
    <t xml:space="preserve">ASE</t>
  </si>
  <si>
    <t xml:space="preserve">HOM</t>
  </si>
  <si>
    <t xml:space="preserve">VIOL. POR</t>
  </si>
  <si>
    <t xml:space="preserve">FUERZA</t>
  </si>
  <si>
    <t xml:space="preserve">TRATA</t>
  </si>
  <si>
    <t xml:space="preserve">HUMANA</t>
  </si>
  <si>
    <t xml:space="preserve">ROBO</t>
  </si>
  <si>
    <t xml:space="preserve">AGR.</t>
  </si>
  <si>
    <t xml:space="preserve">GRAVE</t>
  </si>
  <si>
    <t xml:space="preserve">ESC.</t>
  </si>
  <si>
    <t xml:space="preserve">APR.</t>
  </si>
  <si>
    <t xml:space="preserve">ILEGAL</t>
  </si>
  <si>
    <t xml:space="preserve">HURTO</t>
  </si>
  <si>
    <t xml:space="preserve">AUTO</t>
  </si>
  <si>
    <t xml:space="preserve">REGION  DE HUMACAO</t>
  </si>
  <si>
    <t xml:space="preserve">Distrito</t>
  </si>
  <si>
    <t xml:space="preserve">Tipo I</t>
  </si>
  <si>
    <t xml:space="preserve">Ases.</t>
  </si>
  <si>
    <t xml:space="preserve">Viol.</t>
  </si>
  <si>
    <t xml:space="preserve">Trata Hum.</t>
  </si>
  <si>
    <t xml:space="preserve">Agr. Grave</t>
  </si>
  <si>
    <t xml:space="preserve">Esc.</t>
  </si>
  <si>
    <t xml:space="preserve">Apr. I</t>
  </si>
  <si>
    <t xml:space="preserve">H. Auto</t>
  </si>
  <si>
    <t xml:space="preserve">Aguada </t>
  </si>
  <si>
    <t xml:space="preserve">Aguas Buenas</t>
  </si>
  <si>
    <t xml:space="preserve">Bayamón</t>
  </si>
  <si>
    <t xml:space="preserve">Carolina</t>
  </si>
  <si>
    <t xml:space="preserve">Mayagüez</t>
  </si>
  <si>
    <t xml:space="preserve">Patillas</t>
  </si>
  <si>
    <t xml:space="preserve">San Sebastián</t>
  </si>
  <si>
    <t xml:space="preserve">Santa Isabel</t>
  </si>
  <si>
    <t xml:space="preserve">Trujillo Alto</t>
  </si>
  <si>
    <t xml:space="preserve">Policía de Puerto Rico </t>
  </si>
  <si>
    <t xml:space="preserve">División de Estadísticas de la Criminalidad </t>
  </si>
  <si>
    <t xml:space="preserve">Asesinatos Ocurridos Por Edad Y Sexo</t>
  </si>
  <si>
    <t xml:space="preserve">Acumulado  al 31 de Octubre del 2016 </t>
  </si>
  <si>
    <t xml:space="preserve">Edades</t>
  </si>
  <si>
    <t xml:space="preserve">Total </t>
  </si>
  <si>
    <t xml:space="preserve">Sexo</t>
  </si>
  <si>
    <t xml:space="preserve">Masculino</t>
  </si>
  <si>
    <t xml:space="preserve">Femenino</t>
  </si>
  <si>
    <t xml:space="preserve">Menos de 10 años</t>
  </si>
  <si>
    <t xml:space="preserve">10 a 11</t>
  </si>
  <si>
    <t xml:space="preserve">12 a13</t>
  </si>
  <si>
    <t xml:space="preserve">14 a 15</t>
  </si>
  <si>
    <t xml:space="preserve">16 a 17</t>
  </si>
  <si>
    <t xml:space="preserve">18 a 19</t>
  </si>
  <si>
    <t xml:space="preserve">20 a 24</t>
  </si>
  <si>
    <t xml:space="preserve">25 a 29</t>
  </si>
  <si>
    <t xml:space="preserve">30 a 34</t>
  </si>
  <si>
    <t xml:space="preserve">35 a 39</t>
  </si>
  <si>
    <t xml:space="preserve">40 a 44</t>
  </si>
  <si>
    <t xml:space="preserve">45 a 49</t>
  </si>
  <si>
    <t xml:space="preserve">50 a 54</t>
  </si>
  <si>
    <t xml:space="preserve">55 a 59</t>
  </si>
  <si>
    <t xml:space="preserve">                               </t>
  </si>
  <si>
    <t xml:space="preserve">60 a 64</t>
  </si>
  <si>
    <t xml:space="preserve">65 ó más</t>
  </si>
  <si>
    <t xml:space="preserve">Se Desconoce</t>
  </si>
  <si>
    <t xml:space="preserve">Asesinatos Ocurridos Por Region y Motivo</t>
  </si>
  <si>
    <t xml:space="preserve">Acumulados al 31 de Octubre del 2016</t>
  </si>
  <si>
    <t xml:space="preserve">Pelea</t>
  </si>
  <si>
    <t xml:space="preserve">Pasional</t>
  </si>
  <si>
    <t xml:space="preserve">Violencia 
Doméstica</t>
  </si>
  <si>
    <t xml:space="preserve">Drogas</t>
  </si>
  <si>
    <t xml:space="preserve">Otros</t>
  </si>
  <si>
    <t xml:space="preserve">Se 
Desconoce</t>
  </si>
  <si>
    <t xml:space="preserve">Arecibo </t>
  </si>
  <si>
    <t xml:space="preserve">Ponce </t>
  </si>
  <si>
    <t xml:space="preserve">Mayagüez </t>
  </si>
  <si>
    <t xml:space="preserve">Caguas </t>
  </si>
  <si>
    <t xml:space="preserve">Bayamón </t>
  </si>
  <si>
    <t xml:space="preserve">Nombre:</t>
  </si>
  <si>
    <t xml:space="preserve">Claudia Sotomayor Mercado</t>
  </si>
  <si>
    <t xml:space="preserve">Puesto:</t>
  </si>
  <si>
    <t xml:space="preserve">Directora Interina de Estadística</t>
  </si>
  <si>
    <t xml:space="preserve">Dirección postal:</t>
  </si>
  <si>
    <t xml:space="preserve">P.O Box 70166 San Juan PR 00936</t>
  </si>
  <si>
    <t xml:space="preserve">Dirección física:</t>
  </si>
  <si>
    <t xml:space="preserve">Ave F.D. Roosevelt 601  Cuartel General,  San Juan PR 00936-8166</t>
  </si>
  <si>
    <t xml:space="preserve">Teléfono (o tel. directo):</t>
  </si>
  <si>
    <t xml:space="preserve">(787) 793-1234 ext. 2602</t>
  </si>
  <si>
    <t xml:space="preserve">Fax:</t>
  </si>
  <si>
    <t xml:space="preserve">787-783-3670</t>
  </si>
  <si>
    <t xml:space="preserve">Correo electrónico:</t>
  </si>
  <si>
    <t xml:space="preserve">cesotomayor@policia.pr.gov</t>
  </si>
  <si>
    <t xml:space="preserve">Fecha de publicación </t>
  </si>
  <si>
    <t xml:space="preserve">10 de noviembre de 2016</t>
  </si>
  <si>
    <t xml:space="preserve">Fechas esperadas de publicación  </t>
  </si>
  <si>
    <t xml:space="preserve">mensual</t>
  </si>
  <si>
    <t xml:space="preserve">Para obtener una copia de este informe: </t>
  </si>
  <si>
    <t xml:space="preserve">Puede visitar el siguiente</t>
  </si>
  <si>
    <t xml:space="preserve">portal</t>
  </si>
  <si>
    <t xml:space="preserve">o en http://www.estadisticas.gobierno.pr/iepr/Inventario.aspx</t>
  </si>
  <si>
    <r>
      <rPr>
        <sz val="9"/>
        <rFont val="Arial"/>
        <family val="2"/>
        <charset val="1"/>
      </rPr>
      <t xml:space="preserve">o envíe su solicitud por correo electrónico a </t>
    </r>
    <r>
      <rPr>
        <u val="single"/>
        <sz val="9"/>
        <rFont val="Arial"/>
        <family val="2"/>
        <charset val="1"/>
      </rPr>
      <t xml:space="preserve"> cesotomayor@policia.pr.gov</t>
    </r>
  </si>
  <si>
    <t xml:space="preserve">o llame por teléfono al (787) 793-1234 xt. 2281</t>
  </si>
  <si>
    <t xml:space="preserve">o envíe su solicitud por fax al 787-783-3670</t>
  </si>
  <si>
    <t xml:space="preserve">o envie su solicitud popr correo postal a P.O Box 70166 San Juan PR 00936</t>
  </si>
  <si>
    <t xml:space="preserve">o visite la División de Estadísticas de la Policía de Puerto Rico en  la Ave F.D. Roosevelt 601  Cuartel General,  San Juan PR 00936-8166 de Lunes a Viernes de 8:30 am a 11:30 am y 1:30 pm a 4:00 pm</t>
  </si>
  <si>
    <t xml:space="preserve">El informe está disponible en papel y en Excel o en la internet. (www.policia.pr.gov)</t>
  </si>
  <si>
    <t xml:space="preserve">Este informe es de distribucición gratuita siempre que se acceda del internet. En la división estos   </t>
  </si>
  <si>
    <t xml:space="preserve">cancelaran sellos. La primera  pagina $1.50 y pagina adiccional .25</t>
  </si>
  <si>
    <t xml:space="preserve">Fuentes de información: </t>
  </si>
  <si>
    <t xml:space="preserve">Las estadísticas presentadas en este informe provienen del registro administrativo PR-468, Informe de Incidente que completa un agente de la Policía de Puerto Rico.   Las variables principales de este informe son: delitos tipo I, delitos de violencia (asesinatos y homicidios, violaciones por la fuerza, robos y agresiones agravadas) y delitos contra la propiedad (escalamientos, apropriacione silegales y hurto de autos).  Estas se encuentran definidas en la pestaña llamada "Definición"</t>
  </si>
  <si>
    <t xml:space="preserve">Marco legal o administrativo:</t>
  </si>
  <si>
    <t xml:space="preserve">Este informe tiene como base el artículo 5(q) de la Ley Núm. 53 de 10 de junio de 1996, según enmendada.  Este  artículo establece que se aseurará que se establezca y mantenga un registro de la incidencia criminal en el País, así como unas estadísticas por cada área contenida en las Regiones Policíacas, sobre los delitos reportados detallados según la naturaleza del mismo y los récords porcentuales en materia de esclarecimiento de actos delictivos. Estas estadísticas deben servir para 
permitir al Superintendente establecer estrategias que le permitan combatir adecuadamente la criminalidad, así como implantar iniciativas preventivas en aquellas áreas de mayor incidencia delictiva. El Superintendente deberá preparar un informe mensual de los delitos reportados detallados según la naturaleza de los mismos y los récords porcentuales en materia de esclarecimiento de actos delictivos.
</t>
  </si>
  <si>
    <t xml:space="preserve">1.  Asesinato y Homicidio Voluntario </t>
  </si>
  <si>
    <r>
      <rPr>
        <b val="true"/>
        <sz val="13"/>
        <color rgb="FF000000"/>
        <rFont val="Times New Roman"/>
        <family val="1"/>
        <charset val="1"/>
      </rPr>
      <t xml:space="preserve">Definición</t>
    </r>
    <r>
      <rPr>
        <sz val="13"/>
        <color rgb="FF000000"/>
        <rFont val="Times New Roman"/>
        <family val="1"/>
        <charset val="1"/>
      </rPr>
      <t xml:space="preserve">- La muerte intencional (no negligente) de un ser humano por otro.</t>
    </r>
  </si>
  <si>
    <t xml:space="preserve">2.  Violación a la Fuerza</t>
  </si>
  <si>
    <r>
      <rPr>
        <b val="true"/>
        <sz val="13"/>
        <color rgb="FF000000"/>
        <rFont val="Times New Roman"/>
        <family val="1"/>
        <charset val="1"/>
      </rPr>
      <t xml:space="preserve">Definición-  </t>
    </r>
    <r>
      <rPr>
        <sz val="13"/>
        <color rgb="FF000000"/>
        <rFont val="Times New Roman"/>
        <family val="1"/>
        <charset val="1"/>
      </rPr>
      <t xml:space="preserve">La cópula con una persona, a la fuerza y/o contra la voluntad de esa persona; o no a la</t>
    </r>
  </si>
  <si>
    <t xml:space="preserve"> fuerza o contra la voluntad de la persona cuando la víctima es incapaz de dar su consentimiento</t>
  </si>
  <si>
    <t xml:space="preserve"> debido a su incapacidad mental o física temporal o permanente (o debido a su juventud.)</t>
  </si>
  <si>
    <t xml:space="preserve">3.  Trata Humana</t>
  </si>
  <si>
    <r>
      <rPr>
        <b val="true"/>
        <sz val="13"/>
        <color rgb="FF000000"/>
        <rFont val="Times New Roman"/>
        <family val="1"/>
        <charset val="1"/>
      </rPr>
      <t xml:space="preserve">Definición-</t>
    </r>
    <r>
      <rPr>
        <sz val="13"/>
        <color rgb="FF000000"/>
        <rFont val="Times New Roman"/>
        <family val="1"/>
        <charset val="1"/>
      </rPr>
      <t xml:space="preserve"> La captación, el traslado, el transporte, la acogida o la recepción de una persona</t>
    </r>
  </si>
  <si>
    <t xml:space="preserve">utilizando la violencia, la amenaza, el rapto, el abuso de poder u otros elementos de coacción</t>
  </si>
  <si>
    <t xml:space="preserve">con el fin de someterla a la explotación sexual comercial o a la servidumbre involuntaria.</t>
  </si>
  <si>
    <t xml:space="preserve">Con el propósito del lucro propio.</t>
  </si>
  <si>
    <t xml:space="preserve">4.  Robo</t>
  </si>
  <si>
    <r>
      <rPr>
        <b val="true"/>
        <sz val="13"/>
        <color rgb="FF000000"/>
        <rFont val="Times New Roman"/>
        <family val="1"/>
        <charset val="1"/>
      </rPr>
      <t xml:space="preserve">Definición-</t>
    </r>
    <r>
      <rPr>
        <sz val="13"/>
        <color rgb="FF000000"/>
        <rFont val="Times New Roman"/>
        <family val="1"/>
        <charset val="1"/>
      </rPr>
      <t xml:space="preserve"> Llevarse o intentar llevarse cualquier cosa de valor, en circunstancias deconfrontación, </t>
    </r>
  </si>
  <si>
    <t xml:space="preserve">que se encuentra bajo el control, custodia o cuidado de otra  persona mediante la fuerza o amenaza</t>
  </si>
  <si>
    <t xml:space="preserve">de fuerza o violencia y/o poner a la víctima  en temor de daño inmediato.</t>
  </si>
  <si>
    <t xml:space="preserve">5.  Agresión Grave</t>
  </si>
  <si>
    <r>
      <rPr>
        <b val="true"/>
        <sz val="13"/>
        <color rgb="FF000000"/>
        <rFont val="Times New Roman"/>
        <family val="1"/>
        <charset val="1"/>
      </rPr>
      <t xml:space="preserve">Definición – </t>
    </r>
    <r>
      <rPr>
        <sz val="13"/>
        <color rgb="FF000000"/>
        <rFont val="Times New Roman"/>
        <family val="1"/>
        <charset val="1"/>
      </rPr>
      <t xml:space="preserve">Un ataque ilícito de una persona contra otra en la cual el agresor utiliza un arma o la</t>
    </r>
  </si>
  <si>
    <t xml:space="preserve">exhibe de manera amenazadora, o la víctima sufre una lesión corporal severa o grave, incluyendo</t>
  </si>
  <si>
    <t xml:space="preserve">huesos fracturados, pérdida de dientes, posibles lesiones internas, desgarraduras severas o  pérdida</t>
  </si>
  <si>
    <t xml:space="preserve">de conocimiento aparentes. </t>
  </si>
  <si>
    <t xml:space="preserve">6.  Escalamiento/Allanamiento de Morada</t>
  </si>
  <si>
    <r>
      <rPr>
        <b val="true"/>
        <sz val="13"/>
        <color rgb="FF000000"/>
        <rFont val="Times New Roman"/>
        <family val="1"/>
        <charset val="1"/>
      </rPr>
      <t xml:space="preserve">Definición –</t>
    </r>
    <r>
      <rPr>
        <sz val="13"/>
        <color rgb="FF000000"/>
        <rFont val="Times New Roman"/>
        <family val="1"/>
        <charset val="1"/>
      </rPr>
      <t xml:space="preserve"> La entrada ilícita a un edificio u otra estructura con la intención de cometer un delito</t>
    </r>
  </si>
  <si>
    <t xml:space="preserve">mayor o un robo.</t>
  </si>
  <si>
    <t xml:space="preserve">7.  Apropiación Ilegal</t>
  </si>
  <si>
    <r>
      <rPr>
        <b val="true"/>
        <sz val="13"/>
        <color rgb="FF000000"/>
        <rFont val="Times New Roman"/>
        <family val="1"/>
        <charset val="1"/>
      </rPr>
      <t xml:space="preserve">Definición- </t>
    </r>
    <r>
      <rPr>
        <sz val="13"/>
        <color rgb="FF000000"/>
        <rFont val="Times New Roman"/>
        <family val="1"/>
        <charset val="1"/>
      </rPr>
      <t xml:space="preserve">Adquirir, transportar, llevar o montarse en y llevarse bienes que le pertenecen real o </t>
    </r>
  </si>
  <si>
    <t xml:space="preserve">legalmente a otra persona.</t>
  </si>
  <si>
    <t xml:space="preserve">8.  Hurto de Auto</t>
  </si>
  <si>
    <r>
      <rPr>
        <b val="true"/>
        <sz val="13"/>
        <color rgb="FF000000"/>
        <rFont val="Times New Roman"/>
        <family val="1"/>
        <charset val="1"/>
      </rPr>
      <t xml:space="preserve">Definición</t>
    </r>
    <r>
      <rPr>
        <sz val="13"/>
        <color rgb="FF000000"/>
        <rFont val="Times New Roman"/>
        <family val="1"/>
        <charset val="1"/>
      </rPr>
      <t xml:space="preserve">- El hurto de un vehículo de motor.</t>
    </r>
  </si>
  <si>
    <t xml:space="preserve">Se deben clasificar como hurto de auto de vehículos de motor todos los casos en que las personas que</t>
  </si>
  <si>
    <t xml:space="preserve">personas que no tienen acceso legal a automóviles se los llevan y posteriormente los abandonan. </t>
  </si>
  <si>
    <t xml:space="preserve">Se debe incluir el llevarse un vehículo sin permiso del dueño para realizar paseos alocados.</t>
  </si>
</sst>
</file>

<file path=xl/styles.xml><?xml version="1.0" encoding="utf-8"?>
<styleSheet xmlns="http://schemas.openxmlformats.org/spreadsheetml/2006/main">
  <numFmts count="6">
    <numFmt numFmtId="164" formatCode="General"/>
    <numFmt numFmtId="165" formatCode="General"/>
    <numFmt numFmtId="166" formatCode="0%"/>
    <numFmt numFmtId="167" formatCode="0.0%"/>
    <numFmt numFmtId="168" formatCode="0.0"/>
    <numFmt numFmtId="169" formatCode="0"/>
  </numFmts>
  <fonts count="28">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0"/>
      <name val="Arial"/>
      <family val="2"/>
      <charset val="1"/>
    </font>
    <font>
      <b val="true"/>
      <sz val="12"/>
      <name val="Arial"/>
      <family val="2"/>
      <charset val="1"/>
    </font>
    <font>
      <b val="true"/>
      <sz val="10"/>
      <name val="Arial"/>
      <family val="2"/>
      <charset val="1"/>
    </font>
    <font>
      <sz val="12"/>
      <name val="Arial"/>
      <family val="2"/>
      <charset val="1"/>
    </font>
    <font>
      <b val="true"/>
      <sz val="11"/>
      <name val="Arial"/>
      <family val="2"/>
      <charset val="1"/>
    </font>
    <font>
      <sz val="11"/>
      <name val="Arial"/>
      <family val="2"/>
      <charset val="1"/>
    </font>
    <font>
      <sz val="8"/>
      <name val="Arial"/>
      <family val="2"/>
      <charset val="1"/>
    </font>
    <font>
      <b val="true"/>
      <sz val="9"/>
      <name val="Arial"/>
      <family val="2"/>
      <charset val="1"/>
    </font>
    <font>
      <b val="true"/>
      <sz val="8"/>
      <name val="Arial"/>
      <family val="2"/>
      <charset val="1"/>
    </font>
    <font>
      <sz val="9"/>
      <name val="Arial"/>
      <family val="2"/>
      <charset val="1"/>
    </font>
    <font>
      <i val="true"/>
      <sz val="10"/>
      <name val="Arial"/>
      <family val="2"/>
      <charset val="1"/>
    </font>
    <font>
      <b val="true"/>
      <sz val="10"/>
      <color rgb="FF000000"/>
      <name val="Arial"/>
      <family val="2"/>
      <charset val="1"/>
    </font>
    <font>
      <sz val="10"/>
      <color rgb="FF000000"/>
      <name val="Arial"/>
      <family val="2"/>
      <charset val="1"/>
    </font>
    <font>
      <b val="true"/>
      <sz val="10"/>
      <color rgb="FFFF0000"/>
      <name val="Arial"/>
      <family val="2"/>
      <charset val="1"/>
    </font>
    <font>
      <sz val="10"/>
      <color rgb="FFFF0000"/>
      <name val="Arial"/>
      <family val="2"/>
      <charset val="1"/>
    </font>
    <font>
      <u val="single"/>
      <sz val="10"/>
      <color rgb="FF0000FF"/>
      <name val="Arial"/>
      <family val="2"/>
      <charset val="1"/>
    </font>
    <font>
      <u val="single"/>
      <sz val="9"/>
      <color rgb="FF0000FF"/>
      <name val="Arial"/>
      <family val="2"/>
      <charset val="1"/>
    </font>
    <font>
      <u val="single"/>
      <sz val="9"/>
      <name val="Arial"/>
      <family val="2"/>
      <charset val="1"/>
    </font>
    <font>
      <sz val="13"/>
      <name val="Arial"/>
      <family val="2"/>
      <charset val="1"/>
    </font>
    <font>
      <b val="true"/>
      <sz val="13"/>
      <color rgb="FF000000"/>
      <name val="Times New Roman"/>
      <family val="1"/>
      <charset val="1"/>
    </font>
    <font>
      <sz val="13"/>
      <color rgb="FF000000"/>
      <name val="Calibri"/>
      <family val="2"/>
      <charset val="1"/>
    </font>
    <font>
      <sz val="13"/>
      <color rgb="FF000000"/>
      <name val="Times New Roman"/>
      <family val="1"/>
      <charset val="1"/>
    </font>
    <font>
      <sz val="13"/>
      <name val="Times New Roman"/>
      <family val="1"/>
      <charset val="1"/>
    </font>
  </fonts>
  <fills count="3">
    <fill>
      <patternFill patternType="none"/>
    </fill>
    <fill>
      <patternFill patternType="gray125"/>
    </fill>
    <fill>
      <patternFill patternType="solid">
        <fgColor rgb="FFFFFFFF"/>
        <bgColor rgb="FFF2F2F2"/>
      </patternFill>
    </fill>
  </fills>
  <borders count="96">
    <border diagonalUp="false" diagonalDown="false">
      <left/>
      <right/>
      <top/>
      <bottom/>
      <diagonal/>
    </border>
    <border diagonalUp="false" diagonalDown="false">
      <left style="thick"/>
      <right/>
      <top style="thick"/>
      <bottom/>
      <diagonal/>
    </border>
    <border diagonalUp="false" diagonalDown="false">
      <left/>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style="thick"/>
      <right style="thick"/>
      <top style="thick"/>
      <bottom/>
      <diagonal/>
    </border>
    <border diagonalUp="false" diagonalDown="false">
      <left/>
      <right style="thick"/>
      <top style="thick"/>
      <bottom style="thick"/>
      <diagonal/>
    </border>
    <border diagonalUp="false" diagonalDown="false">
      <left style="thick"/>
      <right style="thick"/>
      <top/>
      <bottom/>
      <diagonal/>
    </border>
    <border diagonalUp="false" diagonalDown="false">
      <left style="thick"/>
      <right/>
      <top/>
      <bottom style="thick"/>
      <diagonal/>
    </border>
    <border diagonalUp="false" diagonalDown="false">
      <left style="thick"/>
      <right style="thick"/>
      <top/>
      <bottom style="thick"/>
      <diagonal/>
    </border>
    <border diagonalUp="false" diagonalDown="false">
      <left style="thick"/>
      <right style="thick"/>
      <top style="thick"/>
      <bottom style="thick"/>
      <diagonal/>
    </border>
    <border diagonalUp="false" diagonalDown="false">
      <left/>
      <right/>
      <top/>
      <bottom style="thick"/>
      <diagonal/>
    </border>
    <border diagonalUp="false" diagonalDown="false">
      <left/>
      <right style="thick"/>
      <top/>
      <bottom style="thick"/>
      <diagonal/>
    </border>
    <border diagonalUp="false" diagonalDown="false">
      <left style="thick"/>
      <right style="thick"/>
      <top/>
      <bottom style="medium"/>
      <diagonal/>
    </border>
    <border diagonalUp="false" diagonalDown="false">
      <left style="medium"/>
      <right style="thick"/>
      <top style="thick"/>
      <bottom style="thick"/>
      <diagonal/>
    </border>
    <border diagonalUp="false" diagonalDown="false">
      <left style="thick"/>
      <right style="thick"/>
      <top style="thick">
        <color rgb="FFF2F2F2"/>
      </top>
      <bottom/>
      <diagonal/>
    </border>
    <border diagonalUp="false" diagonalDown="false">
      <left style="medium"/>
      <right style="medium"/>
      <top style="medium"/>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style="medium"/>
      <right style="medium"/>
      <top/>
      <bottom/>
      <diagonal/>
    </border>
    <border diagonalUp="false" diagonalDown="false">
      <left/>
      <right/>
      <top/>
      <bottom style="hair"/>
      <diagonal/>
    </border>
    <border diagonalUp="false" diagonalDown="false">
      <left style="medium"/>
      <right/>
      <top/>
      <bottom style="hair"/>
      <diagonal/>
    </border>
    <border diagonalUp="false" diagonalDown="false">
      <left style="medium"/>
      <right style="medium"/>
      <top/>
      <bottom style="hair"/>
      <diagonal/>
    </border>
    <border diagonalUp="false" diagonalDown="false">
      <left style="medium"/>
      <right style="medium"/>
      <top/>
      <bottom style="mediu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style="medium"/>
      <bottom style="medium"/>
      <diagonal/>
    </border>
    <border diagonalUp="false" diagonalDown="false">
      <left/>
      <right style="medium"/>
      <top/>
      <bottom style="hair"/>
      <diagonal/>
    </border>
    <border diagonalUp="false" diagonalDown="false">
      <left/>
      <right style="medium"/>
      <top/>
      <bottom style="medium"/>
      <diagonal/>
    </border>
    <border diagonalUp="false" diagonalDown="false">
      <left style="medium"/>
      <right style="medium"/>
      <top style="hair"/>
      <bottom style="medium"/>
      <diagonal/>
    </border>
    <border diagonalUp="false" diagonalDown="false">
      <left/>
      <right style="medium"/>
      <top/>
      <bottom/>
      <diagonal/>
    </border>
    <border diagonalUp="false" diagonalDown="false">
      <left style="medium"/>
      <right style="medium"/>
      <top style="hair"/>
      <bottom style="hair"/>
      <diagonal/>
    </border>
    <border diagonalUp="false" diagonalDown="false">
      <left style="medium"/>
      <right style="medium"/>
      <top style="medium"/>
      <bottom style="hair"/>
      <diagonal/>
    </border>
    <border diagonalUp="false" diagonalDown="false">
      <left/>
      <right style="medium"/>
      <top style="medium"/>
      <bottom style="hair"/>
      <diagonal/>
    </border>
    <border diagonalUp="false" diagonalDown="false">
      <left/>
      <right/>
      <top style="medium"/>
      <bottom style="hair"/>
      <diagonal/>
    </border>
    <border diagonalUp="false" diagonalDown="false">
      <left/>
      <right style="medium"/>
      <top style="hair"/>
      <bottom style="hair"/>
      <diagonal/>
    </border>
    <border diagonalUp="false" diagonalDown="false">
      <left/>
      <right/>
      <top style="hair"/>
      <bottom style="hair"/>
      <diagonal/>
    </border>
    <border diagonalUp="false" diagonalDown="false">
      <left/>
      <right style="medium"/>
      <top style="hair"/>
      <bottom style="medium"/>
      <diagonal/>
    </border>
    <border diagonalUp="false" diagonalDown="false">
      <left/>
      <right/>
      <top style="hair"/>
      <bottom style="medium"/>
      <diagonal/>
    </border>
    <border diagonalUp="false" diagonalDown="false">
      <left style="medium"/>
      <right style="medium"/>
      <top style="medium"/>
      <bottom style="dashed"/>
      <diagonal/>
    </border>
    <border diagonalUp="false" diagonalDown="false">
      <left style="medium"/>
      <right style="medium"/>
      <top style="dashed"/>
      <bottom style="dashed"/>
      <diagonal/>
    </border>
    <border diagonalUp="false" diagonalDown="false">
      <left style="medium"/>
      <right style="medium"/>
      <top style="dashed"/>
      <bottom style="medium"/>
      <diagonal/>
    </border>
    <border diagonalUp="false" diagonalDown="false">
      <left style="medium"/>
      <right style="medium"/>
      <top/>
      <bottom style="dashed"/>
      <diagonal/>
    </border>
    <border diagonalUp="false" diagonalDown="false">
      <left style="medium"/>
      <right style="medium"/>
      <top style="medium"/>
      <bottom style="dotted"/>
      <diagonal/>
    </border>
    <border diagonalUp="false" diagonalDown="false">
      <left/>
      <right/>
      <top style="medium"/>
      <bottom/>
      <diagonal/>
    </border>
    <border diagonalUp="false" diagonalDown="false">
      <left style="medium"/>
      <right style="medium"/>
      <top style="dashed"/>
      <bottom/>
      <diagonal/>
    </border>
    <border diagonalUp="false" diagonalDown="false">
      <left style="medium"/>
      <right style="thick"/>
      <top style="medium"/>
      <bottom style="medium"/>
      <diagonal/>
    </border>
    <border diagonalUp="false" diagonalDown="false">
      <left style="thin"/>
      <right style="thin"/>
      <top style="medium"/>
      <bottom style="medium"/>
      <diagonal/>
    </border>
    <border diagonalUp="false" diagonalDown="false">
      <left/>
      <right style="thick"/>
      <top style="medium"/>
      <bottom style="medium"/>
      <diagonal/>
    </border>
    <border diagonalUp="false" diagonalDown="false">
      <left style="medium"/>
      <right style="thin"/>
      <top/>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ck"/>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ck"/>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thin"/>
      <right style="thick"/>
      <top style="thin"/>
      <bottom style="medium"/>
      <diagonal/>
    </border>
    <border diagonalUp="false" diagonalDown="false">
      <left style="thick"/>
      <right style="medium"/>
      <top style="medium"/>
      <bottom style="thin"/>
      <diagonal/>
    </border>
    <border diagonalUp="false" diagonalDown="false">
      <left style="medium"/>
      <right style="medium"/>
      <top style="medium"/>
      <bottom style="thin"/>
      <diagonal/>
    </border>
    <border diagonalUp="false" diagonalDown="false">
      <left style="medium"/>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ck"/>
      <top style="medium"/>
      <bottom style="thin"/>
      <diagonal/>
    </border>
    <border diagonalUp="false" diagonalDown="false">
      <left style="thick"/>
      <right style="medium"/>
      <top style="thin"/>
      <bottom style="thin"/>
      <diagonal/>
    </border>
    <border diagonalUp="false" diagonalDown="false">
      <left style="medium"/>
      <right style="medium"/>
      <top style="thin"/>
      <bottom style="thin"/>
      <diagonal/>
    </border>
    <border diagonalUp="false" diagonalDown="false">
      <left style="medium"/>
      <right/>
      <top/>
      <bottom style="thin"/>
      <diagonal/>
    </border>
    <border diagonalUp="false" diagonalDown="false">
      <left style="medium"/>
      <right style="medium"/>
      <top/>
      <bottom style="thin"/>
      <diagonal/>
    </border>
    <border diagonalUp="false" diagonalDown="false">
      <left style="thin"/>
      <right style="medium"/>
      <top style="thin"/>
      <bottom style="thin"/>
      <diagonal/>
    </border>
    <border diagonalUp="false" diagonalDown="false">
      <left style="medium"/>
      <right/>
      <top style="thin"/>
      <bottom style="thin"/>
      <diagonal/>
    </border>
    <border diagonalUp="false" diagonalDown="false">
      <left style="thick"/>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thin"/>
      <right style="thick"/>
      <top style="thin"/>
      <bottom/>
      <diagonal/>
    </border>
    <border diagonalUp="false" diagonalDown="false">
      <left style="thick"/>
      <right style="medium"/>
      <top style="thin"/>
      <bottom style="thick"/>
      <diagonal/>
    </border>
    <border diagonalUp="false" diagonalDown="false">
      <left style="medium"/>
      <right style="medium"/>
      <top style="thin"/>
      <bottom style="thick"/>
      <diagonal/>
    </border>
    <border diagonalUp="false" diagonalDown="false">
      <left style="medium"/>
      <right/>
      <top style="thin"/>
      <bottom style="thick"/>
      <diagonal/>
    </border>
    <border diagonalUp="false" diagonalDown="false">
      <left style="medium"/>
      <right style="thin"/>
      <top style="thin"/>
      <bottom style="thick"/>
      <diagonal/>
    </border>
    <border diagonalUp="false" diagonalDown="false">
      <left style="thin"/>
      <right style="medium"/>
      <top style="thin"/>
      <bottom style="thick"/>
      <diagonal/>
    </border>
    <border diagonalUp="false" diagonalDown="false">
      <left style="thin"/>
      <right style="thick"/>
      <top style="thin"/>
      <bottom style="thick"/>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left"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true" applyProtection="false">
      <alignment horizontal="center"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5" fontId="8" fillId="0" borderId="12"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7" fontId="8" fillId="0" borderId="6" xfId="19" applyFont="true" applyBorder="true" applyAlignment="true" applyProtection="true">
      <alignment horizontal="general" vertical="bottom" textRotation="0" wrapText="false" indent="0" shrinkToFit="false"/>
      <protection locked="true" hidden="false"/>
    </xf>
    <xf numFmtId="165" fontId="8" fillId="0" borderId="8" xfId="0" applyFont="true" applyBorder="true" applyAlignment="false" applyProtection="false">
      <alignment horizontal="general" vertical="bottom" textRotation="0" wrapText="false" indent="0" shrinkToFit="false"/>
      <protection locked="true" hidden="false"/>
    </xf>
    <xf numFmtId="167" fontId="8" fillId="0" borderId="13" xfId="19" applyFont="true" applyBorder="true" applyAlignment="true" applyProtection="true">
      <alignment horizontal="general" vertical="bottom" textRotation="0" wrapText="false" indent="0" shrinkToFit="false"/>
      <protection locked="true" hidden="false"/>
    </xf>
    <xf numFmtId="165" fontId="8" fillId="0" borderId="7" xfId="0" applyFont="true" applyBorder="true" applyAlignment="false" applyProtection="false">
      <alignment horizontal="general" vertical="bottom" textRotation="0" wrapText="false" indent="0" shrinkToFit="false"/>
      <protection locked="true" hidden="false"/>
    </xf>
    <xf numFmtId="167" fontId="8" fillId="0" borderId="12" xfId="19" applyFont="true" applyBorder="true" applyAlignment="true" applyProtection="true">
      <alignment horizontal="general" vertical="bottom" textRotation="0" wrapText="false" indent="0" shrinkToFit="false"/>
      <protection locked="true" hidden="false"/>
    </xf>
    <xf numFmtId="165" fontId="8" fillId="0" borderId="13"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7" fontId="8" fillId="0" borderId="10" xfId="19" applyFont="true" applyBorder="true" applyAlignment="true" applyProtection="true">
      <alignment horizontal="general" vertical="bottom" textRotation="0" wrapText="false" indent="0" shrinkToFit="false"/>
      <protection locked="true" hidden="false"/>
    </xf>
    <xf numFmtId="164" fontId="8" fillId="0" borderId="10" xfId="0" applyFont="true" applyBorder="true" applyAlignment="true" applyProtection="false">
      <alignment horizontal="center" vertical="center" textRotation="0" wrapText="false" indent="0" shrinkToFit="false"/>
      <protection locked="true" hidden="false"/>
    </xf>
    <xf numFmtId="167" fontId="8" fillId="0" borderId="4" xfId="19" applyFont="true" applyBorder="true" applyAlignment="true" applyProtection="true">
      <alignment horizontal="general" vertical="bottom" textRotation="0" wrapText="false" indent="0" shrinkToFit="false"/>
      <protection locked="true" hidden="false"/>
    </xf>
    <xf numFmtId="165" fontId="8" fillId="0" borderId="6" xfId="0" applyFont="true" applyBorder="true" applyAlignment="false" applyProtection="false">
      <alignment horizontal="general" vertical="bottom" textRotation="0" wrapText="false" indent="0" shrinkToFit="false"/>
      <protection locked="true" hidden="false"/>
    </xf>
    <xf numFmtId="164" fontId="9" fillId="0" borderId="13" xfId="0" applyFont="true" applyBorder="true" applyAlignment="true" applyProtection="false">
      <alignment horizontal="center" vertical="center" textRotation="0" wrapText="false" indent="0" shrinkToFit="false"/>
      <protection locked="true" hidden="false"/>
    </xf>
    <xf numFmtId="165" fontId="8" fillId="0" borderId="9" xfId="0" applyFont="tru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7" fontId="8" fillId="0" borderId="6" xfId="19" applyFont="true" applyBorder="true" applyAlignment="true" applyProtection="true">
      <alignment horizontal="right" vertical="bottom" textRotation="0" wrapText="false" indent="0" shrinkToFit="false"/>
      <protection locked="true" hidden="false"/>
    </xf>
    <xf numFmtId="167" fontId="8" fillId="0" borderId="12" xfId="19" applyFont="true" applyBorder="true" applyAlignment="true" applyProtection="true">
      <alignment horizontal="right" vertical="bottom" textRotation="0" wrapText="false" indent="0" shrinkToFit="false"/>
      <protection locked="true" hidden="false"/>
    </xf>
    <xf numFmtId="167" fontId="8" fillId="0" borderId="4" xfId="19" applyFont="true" applyBorder="true" applyAlignment="true" applyProtection="true">
      <alignment horizontal="right" vertical="bottom" textRotation="0" wrapText="false" indent="0" shrinkToFit="false"/>
      <protection locked="true" hidden="false"/>
    </xf>
    <xf numFmtId="167" fontId="8" fillId="0" borderId="8"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5" fontId="8" fillId="0" borderId="15" xfId="0" applyFont="true" applyBorder="true" applyAlignment="false" applyProtection="false">
      <alignment horizontal="general" vertical="bottom" textRotation="0" wrapText="false" indent="0" shrinkToFit="false"/>
      <protection locked="true" hidden="false"/>
    </xf>
    <xf numFmtId="167" fontId="8" fillId="0" borderId="15" xfId="0" applyFont="true" applyBorder="true" applyAlignment="true" applyProtection="false">
      <alignment horizontal="general" vertical="bottom" textRotation="0" wrapText="false" indent="0" shrinkToFit="false"/>
      <protection locked="true" hidden="false"/>
    </xf>
    <xf numFmtId="167" fontId="8" fillId="0" borderId="10" xfId="19" applyFont="true" applyBorder="true" applyAlignment="true" applyProtection="true">
      <alignment horizontal="right" vertical="bottom" textRotation="0" wrapText="false" indent="0" shrinkToFit="false"/>
      <protection locked="true" hidden="false"/>
    </xf>
    <xf numFmtId="167" fontId="8" fillId="0" borderId="10"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fill" vertical="bottom" textRotation="0" wrapText="false" indent="0" shrinkToFit="false"/>
      <protection locked="true" hidden="false"/>
    </xf>
    <xf numFmtId="167" fontId="8" fillId="0" borderId="16"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left" vertical="center" textRotation="0" wrapText="false" indent="0" shrinkToFit="false"/>
      <protection locked="true" hidden="false"/>
    </xf>
    <xf numFmtId="164" fontId="9" fillId="0" borderId="12"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true" applyProtection="false">
      <alignment horizontal="center" vertical="center" textRotation="0" wrapText="false" indent="0" shrinkToFit="false"/>
      <protection locked="true" hidden="false"/>
    </xf>
    <xf numFmtId="167" fontId="8" fillId="0" borderId="4" xfId="19" applyFont="true" applyBorder="true" applyAlignment="true" applyProtection="true">
      <alignment horizontal="center" vertical="bottom" textRotation="0" wrapText="false" indent="0" shrinkToFit="false"/>
      <protection locked="true" hidden="false"/>
    </xf>
    <xf numFmtId="167" fontId="8" fillId="0" borderId="10" xfId="19"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10" fillId="0" borderId="12" xfId="0" applyFont="true" applyBorder="true" applyAlignment="true" applyProtection="false">
      <alignment horizontal="center" vertical="center" textRotation="0" wrapText="false" indent="0" shrinkToFit="false"/>
      <protection locked="true" hidden="false"/>
    </xf>
    <xf numFmtId="164" fontId="8" fillId="0" borderId="10" xfId="0" applyFont="true" applyBorder="true" applyAlignment="true" applyProtection="false">
      <alignment horizontal="righ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7" fontId="1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8" fillId="0" borderId="12" xfId="0" applyFont="true" applyBorder="true" applyAlignment="true" applyProtection="false">
      <alignment horizontal="general" vertical="bottom" textRotation="0" wrapText="false" indent="0" shrinkToFit="false"/>
      <protection locked="true" hidden="false"/>
    </xf>
    <xf numFmtId="165" fontId="8" fillId="0" borderId="17"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8" fillId="0" borderId="18" xfId="0" applyFont="true" applyBorder="true" applyAlignment="true" applyProtection="false">
      <alignment horizontal="general" vertical="bottom" textRotation="0" wrapText="false" indent="0" shrinkToFit="false"/>
      <protection locked="true" hidden="false"/>
    </xf>
    <xf numFmtId="167" fontId="8" fillId="0" borderId="10" xfId="0" applyFont="true" applyBorder="true" applyAlignment="true" applyProtection="false">
      <alignment horizontal="center" vertical="bottom" textRotation="0" wrapText="false" indent="0" shrinkToFit="false"/>
      <protection locked="true" hidden="false"/>
    </xf>
    <xf numFmtId="167" fontId="8" fillId="0" borderId="15" xfId="0" applyFont="true" applyBorder="true" applyAlignment="true" applyProtection="false">
      <alignment horizontal="center" vertical="bottom" textRotation="0" wrapText="false" indent="0" shrinkToFit="false"/>
      <protection locked="true" hidden="false"/>
    </xf>
    <xf numFmtId="167" fontId="8" fillId="0" borderId="13" xfId="19" applyFont="true" applyBorder="true" applyAlignment="true" applyProtection="true">
      <alignment horizontal="center" vertical="bottom" textRotation="0" wrapText="false" indent="0" shrinkToFit="false"/>
      <protection locked="true" hidden="false"/>
    </xf>
    <xf numFmtId="167" fontId="8" fillId="0" borderId="8" xfId="0" applyFont="true" applyBorder="true" applyAlignment="true" applyProtection="false">
      <alignment horizontal="center" vertical="bottom" textRotation="0" wrapText="false" indent="0" shrinkToFit="false"/>
      <protection locked="true" hidden="false"/>
    </xf>
    <xf numFmtId="167" fontId="8" fillId="0" borderId="11"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7" fontId="8" fillId="0" borderId="4" xfId="0" applyFont="true" applyBorder="true" applyAlignment="true" applyProtection="false">
      <alignment horizontal="general" vertical="bottom" textRotation="0" wrapText="false" indent="0" shrinkToFit="false"/>
      <protection locked="true" hidden="false"/>
    </xf>
    <xf numFmtId="167" fontId="8" fillId="0" borderId="5" xfId="0" applyFont="true" applyBorder="true" applyAlignment="true" applyProtection="false">
      <alignment horizontal="general" vertical="bottom" textRotation="0" wrapText="false" indent="0" shrinkToFit="false"/>
      <protection locked="true" hidden="false"/>
    </xf>
    <xf numFmtId="167" fontId="8" fillId="0" borderId="4"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7" fontId="8" fillId="0" borderId="6" xfId="0" applyFont="true" applyBorder="true" applyAlignment="true" applyProtection="false">
      <alignment horizontal="general" vertical="bottom" textRotation="0" wrapText="false" indent="0" shrinkToFit="false"/>
      <protection locked="true" hidden="false"/>
    </xf>
    <xf numFmtId="167" fontId="8" fillId="0" borderId="9" xfId="0" applyFont="true" applyBorder="true" applyAlignment="true" applyProtection="false">
      <alignment horizontal="general" vertical="bottom" textRotation="0" wrapText="false" indent="0" shrinkToFit="false"/>
      <protection locked="true" hidden="false"/>
    </xf>
    <xf numFmtId="167"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19" xfId="0" applyFont="false" applyBorder="true" applyAlignment="false" applyProtection="true">
      <alignment horizontal="general" vertical="bottom" textRotation="0" wrapText="false" indent="0" shrinkToFit="false"/>
      <protection locked="true" hidden="false"/>
    </xf>
    <xf numFmtId="164" fontId="0" fillId="0" borderId="20" xfId="0" applyFont="false" applyBorder="true" applyAlignment="false" applyProtection="true">
      <alignment horizontal="general" vertical="bottom" textRotation="0" wrapText="false" indent="0" shrinkToFit="false"/>
      <protection locked="true" hidden="false"/>
    </xf>
    <xf numFmtId="164" fontId="11" fillId="0" borderId="21" xfId="0" applyFont="true" applyBorder="true" applyAlignment="true" applyProtection="true">
      <alignment horizontal="center" vertical="center" textRotation="0" wrapText="false" indent="0" shrinkToFit="false"/>
      <protection locked="true" hidden="false"/>
    </xf>
    <xf numFmtId="164" fontId="11" fillId="0" borderId="22" xfId="0" applyFont="true" applyBorder="true" applyAlignment="true" applyProtection="true">
      <alignment horizontal="center" vertical="center" textRotation="0" wrapText="false" indent="0" shrinkToFit="false"/>
      <protection locked="true" hidden="false"/>
    </xf>
    <xf numFmtId="164" fontId="13" fillId="0" borderId="21" xfId="0" applyFont="true" applyBorder="true" applyAlignment="true" applyProtection="true">
      <alignment horizontal="center" vertical="bottom" textRotation="0" wrapText="false" indent="0" shrinkToFit="false"/>
      <protection locked="true" hidden="false"/>
    </xf>
    <xf numFmtId="164" fontId="0" fillId="0" borderId="23" xfId="0" applyFont="false" applyBorder="true" applyAlignment="false" applyProtection="true">
      <alignment horizontal="general" vertical="bottom" textRotation="0" wrapText="false" indent="0" shrinkToFit="false"/>
      <protection locked="true" hidden="false"/>
    </xf>
    <xf numFmtId="164" fontId="0" fillId="0" borderId="24" xfId="0" applyFont="false" applyBorder="true" applyAlignment="false" applyProtection="true">
      <alignment horizontal="general" vertical="bottom" textRotation="0" wrapText="false" indent="0" shrinkToFit="false"/>
      <protection locked="true" hidden="false"/>
    </xf>
    <xf numFmtId="165" fontId="0" fillId="0" borderId="25" xfId="0" applyFont="false" applyBorder="true" applyAlignment="false" applyProtection="true">
      <alignment horizontal="general" vertical="bottom" textRotation="0" wrapText="false" indent="0" shrinkToFit="false"/>
      <protection locked="false" hidden="false"/>
    </xf>
    <xf numFmtId="164" fontId="0" fillId="0" borderId="26" xfId="0" applyFont="false" applyBorder="true" applyAlignment="false" applyProtection="true">
      <alignment horizontal="general" vertical="bottom" textRotation="0" wrapText="false" indent="0" shrinkToFit="false"/>
      <protection locked="false" hidden="false"/>
    </xf>
    <xf numFmtId="165" fontId="0" fillId="0" borderId="26" xfId="0" applyFont="false" applyBorder="true" applyAlignment="false" applyProtection="true">
      <alignment horizontal="general" vertical="bottom" textRotation="0" wrapText="false" indent="0" shrinkToFit="false"/>
      <protection locked="true" hidden="false"/>
    </xf>
    <xf numFmtId="164" fontId="7" fillId="0" borderId="23" xfId="0" applyFont="true" applyBorder="true" applyAlignment="true" applyProtection="true">
      <alignment horizontal="center" vertical="bottom" textRotation="0" wrapText="false" indent="0" shrinkToFit="false"/>
      <protection locked="true" hidden="false"/>
    </xf>
    <xf numFmtId="164" fontId="0" fillId="0" borderId="24" xfId="0" applyFont="true" applyBorder="true" applyAlignment="true" applyProtection="true">
      <alignment horizontal="right" vertical="bottom" textRotation="0" wrapText="false" indent="0" shrinkToFit="false"/>
      <protection locked="true" hidden="false"/>
    </xf>
    <xf numFmtId="164" fontId="0" fillId="0" borderId="27" xfId="0" applyFont="false" applyBorder="true" applyAlignment="false" applyProtection="true">
      <alignment horizontal="general" vertical="bottom" textRotation="0" wrapText="false" indent="0" shrinkToFit="false"/>
      <protection locked="true" hidden="false"/>
    </xf>
    <xf numFmtId="164" fontId="0" fillId="0" borderId="28" xfId="0" applyFont="true" applyBorder="true" applyAlignment="true" applyProtection="true">
      <alignment horizontal="right" vertical="bottom" textRotation="0" wrapText="false" indent="0" shrinkToFit="false"/>
      <protection locked="true" hidden="false"/>
    </xf>
    <xf numFmtId="167" fontId="0" fillId="0" borderId="27" xfId="0" applyFont="false" applyBorder="true" applyAlignment="false" applyProtection="true">
      <alignment horizontal="general" vertical="bottom" textRotation="0" wrapText="false" indent="0" shrinkToFit="false"/>
      <protection locked="true" hidden="false"/>
    </xf>
    <xf numFmtId="167" fontId="0" fillId="0" borderId="29" xfId="0" applyFont="false" applyBorder="true" applyAlignment="false" applyProtection="true">
      <alignment horizontal="general" vertical="bottom" textRotation="0" wrapText="false" indent="0" shrinkToFit="false"/>
      <protection locked="false" hidden="false"/>
    </xf>
    <xf numFmtId="167" fontId="0" fillId="0" borderId="27" xfId="0" applyFont="false" applyBorder="true" applyAlignment="false" applyProtection="true">
      <alignment horizontal="general" vertical="bottom" textRotation="0" wrapText="false" indent="0" shrinkToFit="false"/>
      <protection locked="false" hidden="false"/>
    </xf>
    <xf numFmtId="164" fontId="13" fillId="0" borderId="23" xfId="0" applyFont="true" applyBorder="true" applyAlignment="true" applyProtection="true">
      <alignment horizontal="center" vertical="bottom" textRotation="0" wrapText="false" indent="0" shrinkToFit="false"/>
      <protection locked="true" hidden="false"/>
    </xf>
    <xf numFmtId="164" fontId="0" fillId="0" borderId="27" xfId="0" applyFont="false" applyBorder="true" applyAlignment="true" applyProtection="true">
      <alignment horizontal="center" vertical="bottom" textRotation="0" wrapText="false" indent="0" shrinkToFit="false"/>
      <protection locked="true" hidden="false"/>
    </xf>
    <xf numFmtId="164" fontId="0" fillId="0" borderId="23" xfId="0" applyFont="false" applyBorder="true" applyAlignment="true" applyProtection="true">
      <alignment horizontal="center" vertical="bottom" textRotation="0" wrapText="false" indent="0" shrinkToFit="false"/>
      <protection locked="true" hidden="false"/>
    </xf>
    <xf numFmtId="169" fontId="0" fillId="0" borderId="26" xfId="0" applyFont="false" applyBorder="true" applyAlignment="false" applyProtection="true">
      <alignment horizontal="general" vertical="bottom" textRotation="0" wrapText="false" indent="0" shrinkToFit="false"/>
      <protection locked="true" hidden="false"/>
    </xf>
    <xf numFmtId="165" fontId="0" fillId="0" borderId="26" xfId="0" applyFont="false" applyBorder="true" applyAlignment="false" applyProtection="true">
      <alignment horizontal="general" vertical="bottom" textRotation="0" wrapText="false" indent="0" shrinkToFit="false"/>
      <protection locked="tru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24" xfId="0" applyFont="true" applyBorder="true" applyAlignment="false" applyProtection="true">
      <alignment horizontal="general" vertical="bottom" textRotation="0" wrapText="false" indent="0" shrinkToFit="false"/>
      <protection locked="false" hidden="false"/>
    </xf>
    <xf numFmtId="164" fontId="0" fillId="0" borderId="19" xfId="0" applyFont="false" applyBorder="true" applyAlignment="false" applyProtection="true">
      <alignment horizontal="general" vertical="bottom" textRotation="0" wrapText="false" indent="0" shrinkToFit="false"/>
      <protection locked="false" hidden="false"/>
    </xf>
    <xf numFmtId="164" fontId="0" fillId="0" borderId="22" xfId="0" applyFont="false" applyBorder="true" applyAlignment="false" applyProtection="true">
      <alignment horizontal="general" vertical="bottom" textRotation="0" wrapText="false" indent="0" shrinkToFit="false"/>
      <protection locked="true" hidden="false"/>
    </xf>
    <xf numFmtId="164" fontId="13" fillId="0" borderId="21" xfId="0" applyFont="true" applyBorder="true" applyAlignment="true" applyProtection="true">
      <alignment horizontal="center" vertical="center" textRotation="0" wrapText="false" indent="0" shrinkToFit="false"/>
      <protection locked="false" hidden="false"/>
    </xf>
    <xf numFmtId="164" fontId="13" fillId="0" borderId="22" xfId="0" applyFont="true" applyBorder="true" applyAlignment="true" applyProtection="true">
      <alignment horizontal="center" vertical="center" textRotation="0" wrapText="false" indent="0" shrinkToFit="false"/>
      <protection locked="false" hidden="false"/>
    </xf>
    <xf numFmtId="164" fontId="13" fillId="0" borderId="22" xfId="0" applyFont="true" applyBorder="true" applyAlignment="true" applyProtection="true">
      <alignment horizontal="center" vertical="center" textRotation="0" wrapText="true" indent="0" shrinkToFit="false"/>
      <protection locked="false" hidden="false"/>
    </xf>
    <xf numFmtId="164" fontId="13" fillId="0" borderId="21" xfId="0" applyFont="true" applyBorder="true" applyAlignment="true" applyProtection="true">
      <alignment horizontal="center" vertical="center" textRotation="0" wrapText="true" indent="0" shrinkToFit="false"/>
      <protection locked="false" hidden="false"/>
    </xf>
    <xf numFmtId="164" fontId="13" fillId="0" borderId="30" xfId="0" applyFont="true" applyBorder="true" applyAlignment="true" applyProtection="true">
      <alignment horizontal="center" vertical="center" textRotation="0" wrapText="false" indent="0" shrinkToFit="false"/>
      <protection locked="false" hidden="false"/>
    </xf>
    <xf numFmtId="164" fontId="13" fillId="0" borderId="21" xfId="0" applyFont="true" applyBorder="true" applyAlignment="true" applyProtection="true">
      <alignment horizontal="center" vertical="bottom" textRotation="0" wrapText="false" indent="0" shrinkToFit="false"/>
      <protection locked="false" hidden="false"/>
    </xf>
    <xf numFmtId="164" fontId="13" fillId="0" borderId="22" xfId="0" applyFont="true" applyBorder="true" applyAlignment="true" applyProtection="true">
      <alignment horizontal="center" vertical="bottom" textRotation="0" wrapText="false" indent="0" shrinkToFit="false"/>
      <protection locked="false" hidden="false"/>
    </xf>
    <xf numFmtId="164" fontId="0" fillId="0" borderId="23" xfId="0" applyFont="false" applyBorder="true" applyAlignment="false" applyProtection="true">
      <alignment horizontal="general" vertical="bottom" textRotation="0" wrapText="false" indent="0" shrinkToFit="false"/>
      <protection locked="fals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7" fillId="0" borderId="23" xfId="0" applyFont="true" applyBorder="true" applyAlignment="true" applyProtection="true">
      <alignment horizontal="center" vertical="bottom" textRotation="0" wrapText="false" indent="0" shrinkToFit="false"/>
      <protection locked="false" hidden="false"/>
    </xf>
    <xf numFmtId="164" fontId="0" fillId="0" borderId="27" xfId="0" applyFont="false" applyBorder="true" applyAlignment="false" applyProtection="true">
      <alignment horizontal="general" vertical="bottom" textRotation="0" wrapText="false" indent="0" shrinkToFit="false"/>
      <protection locked="false" hidden="false"/>
    </xf>
    <xf numFmtId="167" fontId="0" fillId="0" borderId="28" xfId="0" applyFont="false" applyBorder="true" applyAlignment="false" applyProtection="true">
      <alignment horizontal="general" vertical="bottom" textRotation="0" wrapText="false" indent="0" shrinkToFit="false"/>
      <protection locked="false" hidden="false"/>
    </xf>
    <xf numFmtId="167" fontId="0" fillId="0" borderId="32" xfId="0" applyFont="false" applyBorder="true" applyAlignment="false" applyProtection="true">
      <alignment horizontal="general" vertical="bottom" textRotation="0" wrapText="false" indent="0" shrinkToFit="false"/>
      <protection locked="false" hidden="false"/>
    </xf>
    <xf numFmtId="164" fontId="0" fillId="0" borderId="27" xfId="0" applyFont="false" applyBorder="true" applyAlignment="true" applyProtection="true">
      <alignment horizontal="center" vertical="bottom" textRotation="0" wrapText="false" indent="0" shrinkToFit="false"/>
      <protection locked="false" hidden="false"/>
    </xf>
    <xf numFmtId="167" fontId="0" fillId="0" borderId="33" xfId="0" applyFont="false" applyBorder="true" applyAlignment="false" applyProtection="true">
      <alignment horizontal="general" vertical="bottom" textRotation="0" wrapText="false" indent="0" shrinkToFit="false"/>
      <protection locked="false" hidden="false"/>
    </xf>
    <xf numFmtId="164" fontId="0" fillId="0" borderId="23" xfId="0" applyFont="false" applyBorder="true" applyAlignment="true" applyProtection="true">
      <alignment horizontal="center" vertical="bottom" textRotation="0" wrapText="false" indent="0" shrinkToFit="false"/>
      <protection locked="false" hidden="false"/>
    </xf>
    <xf numFmtId="164" fontId="12" fillId="0" borderId="23" xfId="0" applyFont="true" applyBorder="true" applyAlignment="true" applyProtection="true">
      <alignment horizontal="center" vertical="bottom" textRotation="0" wrapText="false" indent="0" shrinkToFit="false"/>
      <protection locked="false" hidden="false"/>
    </xf>
    <xf numFmtId="169" fontId="0" fillId="0" borderId="24" xfId="0" applyFont="false" applyBorder="true" applyAlignment="false" applyProtection="true">
      <alignment horizontal="general" vertical="bottom" textRotation="0" wrapText="false" indent="0" shrinkToFit="false"/>
      <protection locked="false" hidden="false"/>
    </xf>
    <xf numFmtId="169" fontId="0" fillId="0" borderId="26" xfId="0" applyFont="false" applyBorder="true" applyAlignment="true" applyProtection="true">
      <alignment horizontal="right" vertical="bottom" textRotation="0" wrapText="false" indent="0" shrinkToFit="false"/>
      <protection locked="false" hidden="false"/>
    </xf>
    <xf numFmtId="167" fontId="0" fillId="0" borderId="34" xfId="0" applyFont="false" applyBorder="true" applyAlignment="false" applyProtection="true">
      <alignment horizontal="general" vertical="bottom" textRotation="0" wrapText="false" indent="0" shrinkToFit="false"/>
      <protection locked="false" hidden="false"/>
    </xf>
    <xf numFmtId="167" fontId="0" fillId="0" borderId="23" xfId="0" applyFont="false" applyBorder="true" applyAlignment="false" applyProtection="true">
      <alignment horizontal="general" vertical="bottom" textRotation="0" wrapText="false" indent="0" shrinkToFit="false"/>
      <protection locked="false" hidden="false"/>
    </xf>
    <xf numFmtId="167" fontId="0" fillId="0" borderId="0" xfId="0" applyFont="false" applyBorder="true" applyAlignment="false" applyProtection="true">
      <alignment horizontal="general" vertical="bottom" textRotation="0" wrapText="false" indent="0" shrinkToFit="false"/>
      <protection locked="false" hidden="false"/>
    </xf>
    <xf numFmtId="165" fontId="0" fillId="0" borderId="35" xfId="0" applyFont="false" applyBorder="true" applyAlignment="false" applyProtection="true">
      <alignment horizontal="general" vertical="bottom" textRotation="0" wrapText="false" indent="0" shrinkToFit="false"/>
      <protection locked="false" hidden="false"/>
    </xf>
    <xf numFmtId="165" fontId="5" fillId="0" borderId="24" xfId="0" applyFont="true" applyBorder="true" applyAlignment="false" applyProtection="true">
      <alignment horizontal="general" vertical="bottom" textRotation="0" wrapText="false" indent="0" shrinkToFit="false"/>
      <protection locked="false" hidden="false"/>
    </xf>
    <xf numFmtId="164" fontId="5" fillId="0" borderId="27" xfId="0" applyFont="true" applyBorder="true" applyAlignment="true" applyProtection="true">
      <alignment horizontal="center" vertical="bottom" textRotation="0" wrapText="false" indent="0" shrinkToFit="false"/>
      <protection locked="false" hidden="false"/>
    </xf>
    <xf numFmtId="164" fontId="7" fillId="2" borderId="0" xfId="0" applyFont="true" applyBorder="false" applyAlignment="true" applyProtection="true">
      <alignment horizontal="left" vertical="bottom" textRotation="0" wrapText="false" indent="0" shrinkToFit="false"/>
      <protection locked="false" hidden="false"/>
    </xf>
    <xf numFmtId="164" fontId="0" fillId="0" borderId="28" xfId="0" applyFont="false" applyBorder="true" applyAlignment="false" applyProtection="true">
      <alignment horizontal="general" vertical="bottom" textRotation="0" wrapText="false" indent="0" shrinkToFit="false"/>
      <protection locked="false" hidden="false"/>
    </xf>
    <xf numFmtId="164" fontId="13" fillId="0" borderId="30" xfId="0" applyFont="true" applyBorder="true" applyAlignment="true" applyProtection="true">
      <alignment horizontal="center" vertical="bottom" textRotation="0" wrapText="false" indent="0" shrinkToFit="false"/>
      <protection locked="false" hidden="false"/>
    </xf>
    <xf numFmtId="164" fontId="5" fillId="0" borderId="23" xfId="0" applyFont="true" applyBorder="true" applyAlignment="true" applyProtection="true">
      <alignment horizontal="center" vertical="bottom" textRotation="0" wrapText="false" indent="0" shrinkToFit="false"/>
      <protection locked="false" hidden="false"/>
    </xf>
    <xf numFmtId="164" fontId="5" fillId="0" borderId="36" xfId="0" applyFont="true" applyBorder="true" applyAlignment="true" applyProtection="true">
      <alignment horizontal="center" vertical="bottom" textRotation="0" wrapText="false" indent="0" shrinkToFit="false"/>
      <protection locked="false" hidden="false"/>
    </xf>
    <xf numFmtId="167" fontId="0" fillId="0" borderId="36" xfId="0" applyFont="false" applyBorder="true" applyAlignment="false" applyProtection="true">
      <alignment horizontal="general" vertical="bottom" textRotation="0" wrapText="false" indent="0" shrinkToFit="false"/>
      <protection locked="false" hidden="false"/>
    </xf>
    <xf numFmtId="167" fontId="0" fillId="0" borderId="37" xfId="0" applyFont="false" applyBorder="true" applyAlignment="false" applyProtection="true">
      <alignment horizontal="general" vertical="bottom" textRotation="0" wrapText="false" indent="0" shrinkToFit="false"/>
      <protection locked="false" hidden="false"/>
    </xf>
    <xf numFmtId="167" fontId="0" fillId="0" borderId="38" xfId="0" applyFont="false" applyBorder="true" applyAlignment="false" applyProtection="true">
      <alignment horizontal="general" vertical="bottom" textRotation="0" wrapText="false" indent="0" shrinkToFit="false"/>
      <protection locked="false" hidden="false"/>
    </xf>
    <xf numFmtId="164" fontId="7" fillId="0" borderId="35" xfId="0" applyFont="true" applyBorder="true" applyAlignment="true" applyProtection="true">
      <alignment horizontal="center" vertical="bottom" textRotation="0" wrapText="false" indent="0" shrinkToFit="false"/>
      <protection locked="false" hidden="false"/>
    </xf>
    <xf numFmtId="167" fontId="0" fillId="0" borderId="35" xfId="0" applyFont="false" applyBorder="true" applyAlignment="false" applyProtection="true">
      <alignment horizontal="general" vertical="bottom" textRotation="0" wrapText="false" indent="0" shrinkToFit="false"/>
      <protection locked="false" hidden="false"/>
    </xf>
    <xf numFmtId="167" fontId="0" fillId="0" borderId="39" xfId="0" applyFont="false" applyBorder="true" applyAlignment="false" applyProtection="true">
      <alignment horizontal="general" vertical="bottom" textRotation="0" wrapText="false" indent="0" shrinkToFit="false"/>
      <protection locked="false" hidden="false"/>
    </xf>
    <xf numFmtId="167" fontId="0" fillId="0" borderId="40" xfId="0" applyFont="false" applyBorder="true" applyAlignment="false" applyProtection="true">
      <alignment horizontal="general" vertical="bottom" textRotation="0" wrapText="false" indent="0" shrinkToFit="false"/>
      <protection locked="false" hidden="false"/>
    </xf>
    <xf numFmtId="164" fontId="5" fillId="0" borderId="33" xfId="0" applyFont="true" applyBorder="true" applyAlignment="true" applyProtection="true">
      <alignment horizontal="center" vertical="bottom" textRotation="0" wrapText="false" indent="0" shrinkToFit="false"/>
      <protection locked="false" hidden="false"/>
    </xf>
    <xf numFmtId="167" fontId="0" fillId="0" borderId="41" xfId="0" applyFont="false" applyBorder="true" applyAlignment="false" applyProtection="true">
      <alignment horizontal="general" vertical="bottom" textRotation="0" wrapText="false" indent="0" shrinkToFit="false"/>
      <protection locked="false" hidden="false"/>
    </xf>
    <xf numFmtId="167" fontId="0" fillId="0" borderId="42" xfId="0" applyFont="false" applyBorder="true" applyAlignment="false" applyProtection="true">
      <alignment horizontal="general" vertical="bottom" textRotation="0" wrapText="false" indent="0" shrinkToFit="false"/>
      <protection locked="false" hidden="false"/>
    </xf>
    <xf numFmtId="164" fontId="13" fillId="0" borderId="20" xfId="0" applyFont="true" applyBorder="true" applyAlignment="true" applyProtection="true">
      <alignment horizontal="center" vertical="center" textRotation="0" wrapText="false" indent="0" shrinkToFit="false"/>
      <protection locked="false" hidden="false"/>
    </xf>
    <xf numFmtId="164" fontId="5" fillId="0" borderId="23" xfId="0" applyFont="true" applyBorder="true" applyAlignment="false" applyProtection="true">
      <alignment horizontal="general" vertical="bottom" textRotation="0" wrapText="false" indent="0" shrinkToFit="false"/>
      <protection locked="false" hidden="false"/>
    </xf>
    <xf numFmtId="164" fontId="0" fillId="2" borderId="26" xfId="0" applyFont="false" applyBorder="true" applyAlignment="false" applyProtection="true">
      <alignment horizontal="general" vertical="bottom" textRotation="0" wrapText="false" indent="0" shrinkToFit="false"/>
      <protection locked="false" hidden="false"/>
    </xf>
    <xf numFmtId="164" fontId="0" fillId="2" borderId="24" xfId="0" applyFont="false" applyBorder="true" applyAlignment="false" applyProtection="true">
      <alignment horizontal="general" vertical="bottom" textRotation="0" wrapText="false" indent="0" shrinkToFit="false"/>
      <protection locked="false" hidden="false"/>
    </xf>
    <xf numFmtId="165" fontId="0" fillId="2" borderId="25" xfId="0" applyFont="false" applyBorder="true" applyAlignment="false" applyProtection="true">
      <alignment horizontal="general" vertical="bottom" textRotation="0" wrapText="false" indent="0" shrinkToFit="false"/>
      <protection locked="false" hidden="false"/>
    </xf>
    <xf numFmtId="164" fontId="0" fillId="2" borderId="31" xfId="0" applyFont="false" applyBorder="true" applyAlignment="false" applyProtection="true">
      <alignment horizontal="general" vertical="bottom" textRotation="0" wrapText="false" indent="0" shrinkToFit="false"/>
      <protection locked="false" hidden="false"/>
    </xf>
    <xf numFmtId="164" fontId="13" fillId="0" borderId="23" xfId="0" applyFont="true" applyBorder="true" applyAlignment="true" applyProtection="true">
      <alignment horizontal="center" vertical="bottom" textRotation="0" wrapText="false" indent="0" shrinkToFit="false"/>
      <protection locked="false" hidden="false"/>
    </xf>
    <xf numFmtId="164" fontId="0" fillId="0" borderId="36" xfId="0" applyFont="false" applyBorder="true" applyAlignment="true" applyProtection="true">
      <alignment horizontal="center" vertical="bottom" textRotation="0" wrapText="false" indent="0" shrinkToFit="false"/>
      <protection locked="false" hidden="false"/>
    </xf>
    <xf numFmtId="164" fontId="0" fillId="0" borderId="36" xfId="0" applyFont="false" applyBorder="true" applyAlignment="false" applyProtection="true">
      <alignment horizontal="general" vertical="bottom" textRotation="0" wrapText="false" indent="0" shrinkToFit="false"/>
      <protection locked="false" hidden="false"/>
    </xf>
    <xf numFmtId="164" fontId="0" fillId="0" borderId="38" xfId="0" applyFont="false" applyBorder="true" applyAlignment="false" applyProtection="true">
      <alignment horizontal="general" vertical="bottom" textRotation="0" wrapText="false" indent="0" shrinkToFit="false"/>
      <protection locked="false" hidden="false"/>
    </xf>
    <xf numFmtId="164" fontId="0" fillId="0" borderId="40" xfId="0" applyFont="false" applyBorder="true" applyAlignment="false" applyProtection="true">
      <alignment horizontal="general" vertical="bottom" textRotation="0" wrapText="false" indent="0" shrinkToFit="false"/>
      <protection locked="false" hidden="false"/>
    </xf>
    <xf numFmtId="164" fontId="0" fillId="0" borderId="40" xfId="0" applyFont="true" applyBorder="true" applyAlignment="true" applyProtection="true">
      <alignment horizontal="righ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false" hidden="false"/>
    </xf>
    <xf numFmtId="164" fontId="0" fillId="0" borderId="42" xfId="0" applyFont="true" applyBorder="true" applyAlignment="true" applyProtection="tru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3" fillId="0" borderId="28" xfId="0" applyFont="true" applyBorder="true" applyAlignment="true" applyProtection="true">
      <alignment horizontal="center" vertical="bottom" textRotation="0" wrapText="false" indent="0" shrinkToFit="false"/>
      <protection locked="false" hidden="false"/>
    </xf>
    <xf numFmtId="164" fontId="13" fillId="0" borderId="21" xfId="0" applyFont="true" applyBorder="true" applyAlignment="true" applyProtection="true">
      <alignment horizontal="center" vertical="distributed" textRotation="0" wrapText="true" indent="0" shrinkToFit="false"/>
      <protection locked="false" hidden="false"/>
    </xf>
    <xf numFmtId="167" fontId="14" fillId="0" borderId="27" xfId="0" applyFont="true" applyBorder="true" applyAlignment="false" applyProtection="true">
      <alignment horizontal="general" vertical="bottom" textRotation="0" wrapText="false" indent="0" shrinkToFit="false"/>
      <protection locked="false" hidden="false"/>
    </xf>
    <xf numFmtId="167" fontId="5" fillId="0" borderId="27" xfId="0" applyFont="true" applyBorder="true" applyAlignment="false" applyProtection="true">
      <alignment horizontal="general" vertical="bottom" textRotation="0" wrapText="false" indent="0" shrinkToFit="false"/>
      <protection locked="false" hidden="false"/>
    </xf>
    <xf numFmtId="164" fontId="5" fillId="0" borderId="26" xfId="0" applyFont="true" applyBorder="true" applyAlignment="false" applyProtection="true">
      <alignment horizontal="general" vertical="bottom" textRotation="0" wrapText="false" indent="0" shrinkToFit="false"/>
      <protection locked="false" hidden="false"/>
    </xf>
    <xf numFmtId="165" fontId="0" fillId="0" borderId="26" xfId="0" applyFont="false" applyBorder="true" applyAlignment="true" applyProtection="true">
      <alignment horizontal="right" vertical="bottom" textRotation="0" wrapText="false" indent="0" shrinkToFit="false"/>
      <protection locked="false" hidden="false"/>
    </xf>
    <xf numFmtId="167" fontId="0" fillId="2" borderId="27" xfId="0" applyFont="false" applyBorder="true" applyAlignment="false" applyProtection="true">
      <alignment horizontal="general" vertical="bottom" textRotation="0" wrapText="false" indent="0" shrinkToFit="false"/>
      <protection locked="false" hidden="false"/>
    </xf>
    <xf numFmtId="164" fontId="0" fillId="0" borderId="23" xfId="0" applyFont="false" applyBorder="true" applyAlignment="true" applyProtection="true">
      <alignment horizontal="right" vertical="bottom" textRotation="0" wrapText="false" indent="0" shrinkToFit="false"/>
      <protection locked="false" hidden="false"/>
    </xf>
    <xf numFmtId="164" fontId="15" fillId="0" borderId="21" xfId="0" applyFont="tru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center"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right" vertical="bottom" textRotation="0" wrapText="false" indent="0" shrinkToFit="false"/>
      <protection locked="true" hidden="false"/>
    </xf>
    <xf numFmtId="165" fontId="0" fillId="0" borderId="23"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45" xfId="0" applyFont="true" applyBorder="true" applyAlignment="true" applyProtection="false">
      <alignment horizontal="right" vertical="bottom" textRotation="0" wrapText="false" indent="0" shrinkToFit="false"/>
      <protection locked="true" hidden="false"/>
    </xf>
    <xf numFmtId="167" fontId="0" fillId="0" borderId="45" xfId="0" applyFont="false" applyBorder="true" applyAlignment="false" applyProtection="false">
      <alignment horizontal="general" vertical="bottom" textRotation="0" wrapText="false" indent="0" shrinkToFit="false"/>
      <protection locked="true" hidden="false"/>
    </xf>
    <xf numFmtId="164" fontId="0" fillId="0" borderId="44" xfId="0" applyFont="true" applyBorder="true" applyAlignment="true" applyProtection="false">
      <alignment horizontal="right" vertical="bottom" textRotation="0" wrapText="false" indent="0" shrinkToFit="false"/>
      <protection locked="true" hidden="false"/>
    </xf>
    <xf numFmtId="164" fontId="12" fillId="0" borderId="23" xfId="0" applyFont="true" applyBorder="true" applyAlignment="true" applyProtection="false">
      <alignment horizontal="center" vertical="bottom" textRotation="0" wrapText="false" indent="0" shrinkToFit="false"/>
      <protection locked="true" hidden="false"/>
    </xf>
    <xf numFmtId="165" fontId="0" fillId="0" borderId="46" xfId="0" applyFont="false" applyBorder="true" applyAlignment="false" applyProtection="false">
      <alignment horizontal="general" vertical="bottom" textRotation="0" wrapText="false" indent="0" shrinkToFit="false"/>
      <protection locked="true" hidden="false"/>
    </xf>
    <xf numFmtId="164" fontId="14" fillId="0" borderId="27" xfId="0" applyFont="true" applyBorder="true" applyAlignment="false" applyProtection="false">
      <alignment horizontal="general" vertical="bottom" textRotation="0" wrapText="false" indent="0" shrinkToFit="false"/>
      <protection locked="true" hidden="false"/>
    </xf>
    <xf numFmtId="165" fontId="0" fillId="0" borderId="47" xfId="0" applyFont="fals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5" fillId="0" borderId="21" xfId="0" applyFont="true" applyBorder="true" applyAlignment="true" applyProtection="false">
      <alignment horizontal="center"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7" fontId="0" fillId="0" borderId="45" xfId="0" applyFont="false" applyBorder="true" applyAlignment="false" applyProtection="false">
      <alignment horizontal="general"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9" fontId="0" fillId="0" borderId="43" xfId="0" applyFont="false" applyBorder="true" applyAlignment="false" applyProtection="false">
      <alignment horizontal="general" vertical="bottom" textRotation="0" wrapText="false" indent="0" shrinkToFit="false"/>
      <protection locked="true" hidden="false"/>
    </xf>
    <xf numFmtId="164" fontId="14" fillId="0" borderId="23" xfId="0" applyFont="tru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9" fontId="0" fillId="0" borderId="49" xfId="0" applyFont="false" applyBorder="true" applyAlignment="false" applyProtection="false">
      <alignment horizontal="general" vertical="bottom" textRotation="0" wrapText="false" indent="0" shrinkToFit="false"/>
      <protection locked="true" hidden="false"/>
    </xf>
    <xf numFmtId="167" fontId="0" fillId="0" borderId="49"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7" fontId="5" fillId="0" borderId="45" xfId="0" applyFont="true" applyBorder="tru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5" fillId="0" borderId="21" xfId="0" applyFont="tru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center" vertical="bottom" textRotation="0" wrapText="false" indent="0" shrinkToFit="false"/>
      <protection locked="true" hidden="false"/>
    </xf>
    <xf numFmtId="164" fontId="5" fillId="0" borderId="43" xfId="0" applyFont="true" applyBorder="true" applyAlignment="false" applyProtection="false">
      <alignment horizontal="general" vertical="bottom" textRotation="0" wrapText="false" indent="0" shrinkToFit="false"/>
      <protection locked="true" hidden="false"/>
    </xf>
    <xf numFmtId="165" fontId="0" fillId="0" borderId="44" xfId="0" applyFont="false" applyBorder="true" applyAlignment="false" applyProtection="false">
      <alignment horizontal="general" vertical="bottom" textRotation="0" wrapText="false" indent="0" shrinkToFit="false"/>
      <protection locked="true" hidden="false"/>
    </xf>
    <xf numFmtId="164" fontId="0" fillId="2" borderId="43" xfId="0" applyFont="false" applyBorder="true" applyAlignment="false" applyProtection="false">
      <alignment horizontal="general" vertical="bottom" textRotation="0" wrapText="false" indent="0" shrinkToFit="false"/>
      <protection locked="true" hidden="false"/>
    </xf>
    <xf numFmtId="164" fontId="0" fillId="2"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true" applyBorder="true" applyAlignment="false" applyProtection="false">
      <alignment horizontal="general" vertical="bottom" textRotation="0" wrapText="false" indent="0" shrinkToFit="false"/>
      <protection locked="true" hidden="false"/>
    </xf>
    <xf numFmtId="165" fontId="0" fillId="2" borderId="45" xfId="0" applyFont="false" applyBorder="true" applyAlignment="false" applyProtection="false">
      <alignment horizontal="general" vertical="bottom" textRotation="0" wrapText="false" indent="0" shrinkToFit="false"/>
      <protection locked="true" hidden="false"/>
    </xf>
    <xf numFmtId="164" fontId="7" fillId="0" borderId="27"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2" borderId="46" xfId="0" applyFont="false" applyBorder="true" applyAlignment="false" applyProtection="false">
      <alignment horizontal="general" vertical="bottom" textRotation="0" wrapText="false" indent="0" shrinkToFit="false"/>
      <protection locked="true" hidden="false"/>
    </xf>
    <xf numFmtId="164" fontId="5" fillId="0" borderId="44" xfId="0" applyFont="true" applyBorder="true" applyAlignment="false" applyProtection="false">
      <alignment horizontal="general" vertical="bottom" textRotation="0" wrapText="false" indent="0" shrinkToFit="false"/>
      <protection locked="true" hidden="false"/>
    </xf>
    <xf numFmtId="164" fontId="0" fillId="0" borderId="49"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true" applyProtection="false">
      <alignment horizontal="center" vertical="bottom" textRotation="0" wrapText="false" indent="0" shrinkToFit="false"/>
      <protection locked="true" hidden="false"/>
    </xf>
    <xf numFmtId="165" fontId="7" fillId="0" borderId="21" xfId="0" applyFont="true" applyBorder="true" applyAlignment="false" applyProtection="false">
      <alignment horizontal="general" vertical="bottom" textRotation="0" wrapText="false" indent="0" shrinkToFit="false"/>
      <protection locked="true" hidden="false"/>
    </xf>
    <xf numFmtId="165" fontId="7" fillId="2" borderId="21"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center" vertical="bottom" textRotation="0" wrapText="false" indent="0" shrinkToFit="false"/>
      <protection locked="true" hidden="false"/>
    </xf>
    <xf numFmtId="164" fontId="6" fillId="0" borderId="50"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false" indent="0" shrinkToFit="false"/>
      <protection locked="true" hidden="false"/>
    </xf>
    <xf numFmtId="165" fontId="6" fillId="0" borderId="51" xfId="0" applyFont="true" applyBorder="true" applyAlignment="true" applyProtection="false">
      <alignment horizontal="center" vertical="bottom" textRotation="0" wrapText="false" indent="0" shrinkToFit="false"/>
      <protection locked="true" hidden="false"/>
    </xf>
    <xf numFmtId="165" fontId="6" fillId="0" borderId="30" xfId="0" applyFont="true" applyBorder="true" applyAlignment="true" applyProtection="false">
      <alignment horizontal="center" vertical="bottom" textRotation="0" wrapText="false" indent="0" shrinkToFit="false"/>
      <protection locked="true" hidden="false"/>
    </xf>
    <xf numFmtId="165" fontId="6" fillId="0" borderId="52" xfId="0" applyFont="true" applyBorder="true" applyAlignment="true" applyProtection="false">
      <alignment horizontal="center" vertical="bottom" textRotation="0" wrapText="false" indent="0" shrinkToFit="false"/>
      <protection locked="true" hidden="false"/>
    </xf>
    <xf numFmtId="164" fontId="5" fillId="0" borderId="53" xfId="0" applyFont="true" applyBorder="true" applyAlignment="true" applyProtection="false">
      <alignment horizontal="center" vertical="bottom" textRotation="0" wrapText="false" indent="0" shrinkToFit="false"/>
      <protection locked="true" hidden="false"/>
    </xf>
    <xf numFmtId="165" fontId="7" fillId="0" borderId="54" xfId="0" applyFont="true" applyBorder="true" applyAlignment="true" applyProtection="false">
      <alignment horizontal="center" vertical="bottom" textRotation="0" wrapText="false" indent="0" shrinkToFit="false"/>
      <protection locked="true" hidden="false"/>
    </xf>
    <xf numFmtId="165" fontId="8" fillId="0" borderId="55" xfId="0" applyFont="true" applyBorder="true" applyAlignment="true" applyProtection="false">
      <alignment horizontal="center" vertical="bottom" textRotation="0" wrapText="false" indent="0" shrinkToFit="false"/>
      <protection locked="true" hidden="false"/>
    </xf>
    <xf numFmtId="164" fontId="8" fillId="0" borderId="56" xfId="0" applyFont="true" applyBorder="true" applyAlignment="true" applyProtection="false">
      <alignment horizontal="center" vertical="bottom" textRotation="0" wrapText="false" indent="0" shrinkToFit="false"/>
      <protection locked="true" hidden="false"/>
    </xf>
    <xf numFmtId="164" fontId="8" fillId="0" borderId="57"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58" xfId="0" applyFont="true" applyBorder="true" applyAlignment="true" applyProtection="false">
      <alignment horizontal="center" vertical="bottom" textRotation="0" wrapText="false" indent="0" shrinkToFit="false"/>
      <protection locked="true" hidden="false"/>
    </xf>
    <xf numFmtId="165" fontId="8" fillId="0" borderId="59" xfId="0" applyFont="true" applyBorder="true" applyAlignment="true" applyProtection="false">
      <alignment horizontal="center" vertical="bottom" textRotation="0" wrapText="false" indent="0" shrinkToFit="false"/>
      <protection locked="true" hidden="false"/>
    </xf>
    <xf numFmtId="164" fontId="8" fillId="0" borderId="60" xfId="0" applyFont="true" applyBorder="true" applyAlignment="true" applyProtection="false">
      <alignment horizontal="center" vertical="bottom" textRotation="0" wrapText="false" indent="0" shrinkToFit="false"/>
      <protection locked="true" hidden="false"/>
    </xf>
    <xf numFmtId="164" fontId="8" fillId="0" borderId="61" xfId="0" applyFont="true" applyBorder="true" applyAlignment="true" applyProtection="false">
      <alignment horizontal="center" vertical="bottom" textRotation="0" wrapText="false" indent="0" shrinkToFit="false"/>
      <protection locked="true" hidden="false"/>
    </xf>
    <xf numFmtId="164" fontId="5" fillId="0" borderId="62" xfId="0" applyFont="true" applyBorder="true" applyAlignment="true" applyProtection="false">
      <alignment horizontal="center" vertical="bottom" textRotation="0" wrapText="false" indent="0" shrinkToFit="false"/>
      <protection locked="true" hidden="false"/>
    </xf>
    <xf numFmtId="165" fontId="7" fillId="0" borderId="63" xfId="0" applyFont="true" applyBorder="true" applyAlignment="true" applyProtection="false">
      <alignment horizontal="center" vertical="bottom" textRotation="0" wrapText="false" indent="0" shrinkToFit="false"/>
      <protection locked="true" hidden="false"/>
    </xf>
    <xf numFmtId="164" fontId="8" fillId="0" borderId="64" xfId="0" applyFont="true" applyBorder="true" applyAlignment="true" applyProtection="false">
      <alignment horizontal="center" vertical="bottom" textRotation="0" wrapText="false" indent="0" shrinkToFit="false"/>
      <protection locked="true" hidden="false"/>
    </xf>
    <xf numFmtId="164" fontId="8" fillId="0" borderId="65" xfId="0" applyFont="true" applyBorder="true" applyAlignment="true" applyProtection="false">
      <alignment horizontal="center"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true" indent="0" shrinkToFit="false"/>
      <protection locked="true" hidden="false"/>
    </xf>
    <xf numFmtId="164" fontId="13" fillId="0" borderId="50" xfId="0" applyFont="true" applyBorder="true" applyAlignment="true" applyProtection="false">
      <alignment horizontal="center" vertical="bottom" textRotation="0" wrapText="true" indent="0" shrinkToFit="false"/>
      <protection locked="true" hidden="false"/>
    </xf>
    <xf numFmtId="164" fontId="7" fillId="0" borderId="21" xfId="0" applyFont="true" applyBorder="true" applyAlignment="true" applyProtection="false">
      <alignment horizontal="right" vertical="center" textRotation="90" wrapText="false" indent="0" shrinkToFit="false"/>
      <protection locked="true" hidden="false"/>
    </xf>
    <xf numFmtId="164" fontId="5" fillId="0" borderId="22" xfId="0" applyFont="true" applyBorder="true" applyAlignment="true" applyProtection="false">
      <alignment horizontal="right" vertical="center" textRotation="90" wrapText="false" indent="0" shrinkToFit="false"/>
      <protection locked="true" hidden="false"/>
    </xf>
    <xf numFmtId="164" fontId="5" fillId="0" borderId="21" xfId="0" applyFont="true" applyBorder="true" applyAlignment="true" applyProtection="false">
      <alignment horizontal="right" vertical="center" textRotation="90" wrapText="false" indent="0" shrinkToFit="false"/>
      <protection locked="true" hidden="false"/>
    </xf>
    <xf numFmtId="164" fontId="5" fillId="0" borderId="50" xfId="0" applyFont="true" applyBorder="true" applyAlignment="true" applyProtection="false">
      <alignment horizontal="right" vertical="center" textRotation="90" wrapText="false" indent="0" shrinkToFit="false"/>
      <protection locked="true" hidden="false"/>
    </xf>
    <xf numFmtId="164" fontId="6" fillId="0" borderId="66" xfId="0" applyFont="true" applyBorder="true" applyAlignment="true" applyProtection="false">
      <alignment horizontal="center" vertical="bottom" textRotation="0" wrapText="false" indent="0" shrinkToFit="false"/>
      <protection locked="true" hidden="false"/>
    </xf>
    <xf numFmtId="165" fontId="7" fillId="0" borderId="67" xfId="0" applyFont="true" applyBorder="true" applyAlignment="true" applyProtection="false">
      <alignment horizontal="center" vertical="bottom" textRotation="0" wrapText="false" indent="0" shrinkToFit="false"/>
      <protection locked="true" hidden="false"/>
    </xf>
    <xf numFmtId="165" fontId="7" fillId="0" borderId="68" xfId="0" applyFont="true" applyBorder="true" applyAlignment="true" applyProtection="false">
      <alignment horizontal="center" vertical="bottom" textRotation="0" wrapText="false" indent="0" shrinkToFit="false"/>
      <protection locked="true" hidden="false"/>
    </xf>
    <xf numFmtId="165" fontId="7" fillId="0" borderId="69" xfId="0" applyFont="true" applyBorder="true" applyAlignment="true" applyProtection="false">
      <alignment horizontal="center" vertical="bottom" textRotation="0" wrapText="false" indent="0" shrinkToFit="false"/>
      <protection locked="true" hidden="false"/>
    </xf>
    <xf numFmtId="165" fontId="7" fillId="0" borderId="70" xfId="0" applyFont="true" applyBorder="true" applyAlignment="true" applyProtection="false">
      <alignment horizontal="center" vertical="bottom" textRotation="0" wrapText="false" indent="0" shrinkToFit="false"/>
      <protection locked="true" hidden="false"/>
    </xf>
    <xf numFmtId="165" fontId="7" fillId="0" borderId="71" xfId="0" applyFont="true" applyBorder="true" applyAlignment="true" applyProtection="false">
      <alignment horizontal="center" vertical="bottom" textRotation="0" wrapText="false" indent="0" shrinkToFit="false"/>
      <protection locked="true" hidden="false"/>
    </xf>
    <xf numFmtId="164" fontId="8" fillId="0" borderId="72" xfId="0" applyFont="true" applyBorder="true" applyAlignment="true" applyProtection="false">
      <alignment horizontal="center" vertical="bottom" textRotation="0" wrapText="false" indent="0" shrinkToFit="false"/>
      <protection locked="true" hidden="false"/>
    </xf>
    <xf numFmtId="165" fontId="7" fillId="0" borderId="73" xfId="0" applyFont="true" applyBorder="true" applyAlignment="true" applyProtection="false">
      <alignment horizontal="center" vertical="bottom" textRotation="0" wrapText="false" indent="0" shrinkToFit="false"/>
      <protection locked="true" hidden="false"/>
    </xf>
    <xf numFmtId="165" fontId="7" fillId="0" borderId="74" xfId="0" applyFont="true" applyBorder="true" applyAlignment="true" applyProtection="false">
      <alignment horizontal="center" vertical="bottom" textRotation="0" wrapText="false" indent="0" shrinkToFit="false"/>
      <protection locked="true" hidden="false"/>
    </xf>
    <xf numFmtId="165" fontId="9" fillId="0" borderId="75" xfId="0" applyFont="true" applyBorder="true" applyAlignment="true" applyProtection="false">
      <alignment horizontal="center" vertical="bottom" textRotation="0" wrapText="false" indent="0" shrinkToFit="false"/>
      <protection locked="true" hidden="false"/>
    </xf>
    <xf numFmtId="164" fontId="9" fillId="0" borderId="58" xfId="0" applyFont="true" applyBorder="true" applyAlignment="true" applyProtection="false">
      <alignment horizontal="center" vertical="bottom" textRotation="0" wrapText="false" indent="0" shrinkToFit="false"/>
      <protection locked="true" hidden="false"/>
    </xf>
    <xf numFmtId="164" fontId="9" fillId="0" borderId="76" xfId="0" applyFont="true" applyBorder="true" applyAlignment="true" applyProtection="false">
      <alignment horizontal="center" vertical="bottom" textRotation="0" wrapText="false" indent="0" shrinkToFit="false"/>
      <protection locked="true" hidden="false"/>
    </xf>
    <xf numFmtId="164" fontId="9" fillId="0" borderId="61" xfId="0" applyFont="true" applyBorder="true" applyAlignment="true" applyProtection="false">
      <alignment horizontal="center" vertical="bottom" textRotation="0" wrapText="false" indent="0" shrinkToFit="false"/>
      <protection locked="true" hidden="false"/>
    </xf>
    <xf numFmtId="165" fontId="7" fillId="0" borderId="77" xfId="0" applyFont="true" applyBorder="true" applyAlignment="true" applyProtection="false">
      <alignment horizontal="center" vertical="bottom" textRotation="0" wrapText="false" indent="0" shrinkToFit="false"/>
      <protection locked="true" hidden="false"/>
    </xf>
    <xf numFmtId="165" fontId="9" fillId="0" borderId="73"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2" borderId="58" xfId="0" applyFont="true" applyBorder="true" applyAlignment="true" applyProtection="false">
      <alignment horizontal="center" vertical="bottom" textRotation="0" wrapText="false" indent="0" shrinkToFit="false"/>
      <protection locked="true" hidden="false"/>
    </xf>
    <xf numFmtId="164" fontId="8" fillId="0" borderId="78" xfId="0" applyFont="true" applyBorder="true" applyAlignment="true" applyProtection="false">
      <alignment horizontal="center" vertical="bottom" textRotation="0" wrapText="false" indent="0" shrinkToFit="false"/>
      <protection locked="true" hidden="false"/>
    </xf>
    <xf numFmtId="165" fontId="7" fillId="0" borderId="79" xfId="0" applyFont="true" applyBorder="true" applyAlignment="true" applyProtection="false">
      <alignment horizontal="center" vertical="bottom" textRotation="0" wrapText="false" indent="0" shrinkToFit="false"/>
      <protection locked="true" hidden="false"/>
    </xf>
    <xf numFmtId="165" fontId="7" fillId="0" borderId="80" xfId="0" applyFont="true" applyBorder="true" applyAlignment="true" applyProtection="false">
      <alignment horizontal="center" vertical="bottom" textRotation="0" wrapText="false" indent="0" shrinkToFit="false"/>
      <protection locked="true" hidden="false"/>
    </xf>
    <xf numFmtId="165" fontId="9" fillId="0" borderId="79" xfId="0" applyFont="true" applyBorder="true" applyAlignment="true" applyProtection="false">
      <alignment horizontal="center" vertical="bottom" textRotation="0" wrapText="false" indent="0" shrinkToFit="false"/>
      <protection locked="true" hidden="false"/>
    </xf>
    <xf numFmtId="164" fontId="9" fillId="0" borderId="81" xfId="0" applyFont="true" applyBorder="true" applyAlignment="true" applyProtection="false">
      <alignment horizontal="center" vertical="bottom" textRotation="0" wrapText="false" indent="0" shrinkToFit="false"/>
      <protection locked="true" hidden="false"/>
    </xf>
    <xf numFmtId="164" fontId="9" fillId="0" borderId="82" xfId="0" applyFont="true" applyBorder="true" applyAlignment="true" applyProtection="false">
      <alignment horizontal="center" vertical="bottom" textRotation="0" wrapText="false" indent="0" shrinkToFit="false"/>
      <protection locked="true" hidden="false"/>
    </xf>
    <xf numFmtId="164" fontId="9" fillId="0" borderId="83" xfId="0" applyFont="true" applyBorder="true" applyAlignment="true" applyProtection="false">
      <alignment horizontal="center" vertical="bottom" textRotation="0" wrapText="false" indent="0" shrinkToFit="false"/>
      <protection locked="true" hidden="false"/>
    </xf>
    <xf numFmtId="164" fontId="8" fillId="0" borderId="84" xfId="0" applyFont="true" applyBorder="true" applyAlignment="true" applyProtection="false">
      <alignment horizontal="center" vertical="bottom" textRotation="0" wrapText="false" indent="0" shrinkToFit="false"/>
      <protection locked="true" hidden="false"/>
    </xf>
    <xf numFmtId="165" fontId="7" fillId="0" borderId="85" xfId="0" applyFont="true" applyBorder="true" applyAlignment="true" applyProtection="false">
      <alignment horizontal="center" vertical="bottom" textRotation="0" wrapText="false" indent="0" shrinkToFit="false"/>
      <protection locked="true" hidden="false"/>
    </xf>
    <xf numFmtId="165" fontId="7" fillId="0" borderId="86" xfId="0" applyFont="true" applyBorder="true" applyAlignment="true" applyProtection="false">
      <alignment horizontal="center" vertical="bottom" textRotation="0" wrapText="false" indent="0" shrinkToFit="false"/>
      <protection locked="true" hidden="false"/>
    </xf>
    <xf numFmtId="165" fontId="9" fillId="0" borderId="85" xfId="0" applyFont="true" applyBorder="true" applyAlignment="true" applyProtection="false">
      <alignment horizontal="center" vertical="bottom" textRotation="0" wrapText="false" indent="0" shrinkToFit="false"/>
      <protection locked="true" hidden="false"/>
    </xf>
    <xf numFmtId="164" fontId="9" fillId="0" borderId="87" xfId="0" applyFont="true" applyBorder="true" applyAlignment="true" applyProtection="false">
      <alignment horizontal="center" vertical="bottom" textRotation="0" wrapText="false" indent="0" shrinkToFit="false"/>
      <protection locked="true" hidden="false"/>
    </xf>
    <xf numFmtId="164" fontId="9" fillId="0" borderId="88" xfId="0" applyFont="true" applyBorder="true" applyAlignment="true" applyProtection="false">
      <alignment horizontal="center" vertical="bottom" textRotation="0" wrapText="false" indent="0" shrinkToFit="false"/>
      <protection locked="true" hidden="false"/>
    </xf>
    <xf numFmtId="164" fontId="9" fillId="0" borderId="89"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2" fillId="0" borderId="90" xfId="0" applyFont="true" applyBorder="true" applyAlignment="true" applyProtection="false">
      <alignment horizontal="left" vertical="top" textRotation="0" wrapText="true" indent="0" shrinkToFit="false"/>
      <protection locked="true" hidden="false"/>
    </xf>
    <xf numFmtId="164" fontId="14" fillId="0" borderId="91" xfId="0" applyFont="true" applyBorder="true" applyAlignment="true" applyProtection="false">
      <alignment horizontal="general" vertical="top" textRotation="0" wrapText="true" indent="0" shrinkToFit="false"/>
      <protection locked="true" hidden="false"/>
    </xf>
    <xf numFmtId="164" fontId="14" fillId="0" borderId="90" xfId="0" applyFont="true" applyBorder="true" applyAlignment="true" applyProtection="false">
      <alignment horizontal="left" vertical="top" textRotation="0" wrapText="true" indent="0" shrinkToFit="false"/>
      <protection locked="true" hidden="false"/>
    </xf>
    <xf numFmtId="164" fontId="14" fillId="0" borderId="92" xfId="0" applyFont="true" applyBorder="true" applyAlignment="true" applyProtection="false">
      <alignment horizontal="general" vertical="top" textRotation="0" wrapText="true" indent="0" shrinkToFit="false"/>
      <protection locked="true" hidden="false"/>
    </xf>
    <xf numFmtId="164" fontId="12" fillId="0" borderId="93" xfId="0" applyFont="true" applyBorder="true" applyAlignment="true" applyProtection="false">
      <alignment horizontal="left" vertical="top" textRotation="0" wrapText="true" indent="0" shrinkToFit="false"/>
      <protection locked="true" hidden="false"/>
    </xf>
    <xf numFmtId="164" fontId="14" fillId="0" borderId="94"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2" fillId="0" borderId="59" xfId="0" applyFont="true" applyBorder="true" applyAlignment="true" applyProtection="false">
      <alignment horizontal="general" vertical="top" textRotation="0" wrapText="true" indent="0" shrinkToFit="false"/>
      <protection locked="true" hidden="false"/>
    </xf>
    <xf numFmtId="164" fontId="20" fillId="0" borderId="94" xfId="20" applyFont="true" applyBorder="true" applyAlignment="true" applyProtection="true">
      <alignment horizontal="general" vertical="top" textRotation="0" wrapText="true" indent="0" shrinkToFit="false"/>
      <protection locked="true" hidden="false"/>
    </xf>
    <xf numFmtId="164" fontId="14" fillId="0" borderId="94" xfId="0" applyFont="true" applyBorder="true" applyAlignment="false" applyProtection="false">
      <alignment horizontal="general" vertical="bottom" textRotation="0" wrapText="false" indent="0" shrinkToFit="false"/>
      <protection locked="true" hidden="false"/>
    </xf>
    <xf numFmtId="164" fontId="14" fillId="0" borderId="95" xfId="0" applyFont="true" applyBorder="true" applyAlignment="true" applyProtection="false">
      <alignment horizontal="center" vertical="top" textRotation="0" wrapText="true" indent="0" shrinkToFit="false"/>
      <protection locked="true" hidden="false"/>
    </xf>
    <xf numFmtId="164" fontId="14" fillId="0" borderId="93" xfId="0" applyFont="true" applyBorder="true" applyAlignment="true" applyProtection="false">
      <alignment horizontal="left" vertical="top" textRotation="0" wrapText="true" indent="0" shrinkToFit="false"/>
      <protection locked="true" hidden="false"/>
    </xf>
    <xf numFmtId="164" fontId="21"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4" fillId="0" borderId="94" xfId="0" applyFont="true" applyBorder="true" applyAlignment="true" applyProtection="false">
      <alignment horizontal="left" vertical="bottom" textRotation="0" wrapText="false" indent="0" shrinkToFit="false"/>
      <protection locked="true" hidden="false"/>
    </xf>
    <xf numFmtId="164" fontId="14" fillId="0" borderId="93" xfId="0" applyFont="true" applyBorder="tru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left" vertical="bottom" textRotation="0" wrapText="true" indent="0" shrinkToFit="false"/>
      <protection locked="true" hidden="false"/>
    </xf>
    <xf numFmtId="164" fontId="14" fillId="0" borderId="94" xfId="0" applyFont="true" applyBorder="true" applyAlignment="true" applyProtection="false">
      <alignment horizontal="left" vertical="bottom" textRotation="0" wrapText="true" indent="0" shrinkToFit="false"/>
      <protection locked="true" hidden="false"/>
    </xf>
    <xf numFmtId="164" fontId="14" fillId="0" borderId="94" xfId="0" applyFont="true" applyBorder="true" applyAlignment="true" applyProtection="false">
      <alignment horizontal="left" vertical="top" textRotation="0" wrapText="true" indent="0" shrinkToFit="false"/>
      <protection locked="true" hidden="false"/>
    </xf>
    <xf numFmtId="164" fontId="14" fillId="0" borderId="56" xfId="0" applyFont="true" applyBorder="true" applyAlignment="true" applyProtection="false">
      <alignment horizontal="left" vertical="top" textRotation="0" wrapText="true" indent="0" shrinkToFit="false"/>
      <protection locked="true" hidden="false"/>
    </xf>
    <xf numFmtId="164" fontId="14" fillId="0" borderId="55"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4" fillId="0" borderId="0" xfId="21" applyFont="true" applyBorder="true" applyAlignment="true" applyProtection="false">
      <alignment horizontal="left" vertical="bottom" textRotation="0" wrapText="false" indent="0" shrinkToFit="false"/>
      <protection locked="true" hidden="false"/>
    </xf>
    <xf numFmtId="164" fontId="25" fillId="0" borderId="0" xfId="21" applyFont="true" applyBorder="true" applyAlignment="false" applyProtection="false">
      <alignment horizontal="general" vertical="bottom" textRotation="0" wrapText="false" indent="0" shrinkToFit="false"/>
      <protection locked="true" hidden="false"/>
    </xf>
    <xf numFmtId="164" fontId="26" fillId="0" borderId="0" xfId="21" applyFont="true" applyBorder="true" applyAlignment="true" applyProtection="false">
      <alignment horizontal="left" vertical="bottom" textRotation="0" wrapText="false" indent="0" shrinkToFit="false"/>
      <protection locked="true" hidden="false"/>
    </xf>
    <xf numFmtId="164" fontId="24" fillId="0" borderId="0" xfId="21" applyFont="true" applyBorder="true" applyAlignment="true" applyProtection="false">
      <alignment horizontal="justify"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4" fillId="0" borderId="0" xfId="21" applyFont="true" applyBorder="true" applyAlignment="true" applyProtection="false">
      <alignment horizontal="general" vertical="bottom" textRotation="0" wrapText="false" indent="0" shrinkToFit="false"/>
      <protection locked="true" hidden="false"/>
    </xf>
    <xf numFmtId="164" fontId="26" fillId="0" borderId="0" xfId="21" applyFont="true" applyBorder="true" applyAlignment="true" applyProtection="false">
      <alignment horizontal="general" vertical="bottom" textRotation="0" wrapText="false" indent="0" shrinkToFit="false"/>
      <protection locked="true" hidden="false"/>
    </xf>
    <xf numFmtId="164" fontId="24" fillId="0" borderId="0" xfId="21"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left"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mailto:cesotomayor@policia.pr.gov" TargetMode="External"/><Relationship Id="rId2" Type="http://schemas.openxmlformats.org/officeDocument/2006/relationships/hyperlink" Target="http://www.estadisticas.gobierno.pr/iepr/Inventario/tabid/186/ctl/view_detail/mid/775/report_id/fe3410ec-3d75-40fb-a9eb-c68830354ff9/Default.asp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35"/>
  <sheetViews>
    <sheetView showFormulas="false" showGridLines="true" showRowColHeaders="true" showZeros="true" rightToLeft="false" tabSelected="false" showOutlineSymbols="true" defaultGridColor="true" view="pageBreakPreview" topLeftCell="A260" colorId="64" zoomScale="65" zoomScaleNormal="75" zoomScalePageLayoutView="65" workbookViewId="0">
      <selection pane="topLeft" activeCell="E52" activeCellId="0" sqref="E52"/>
    </sheetView>
  </sheetViews>
  <sheetFormatPr defaultColWidth="8.6796875" defaultRowHeight="12.75" zeroHeight="false" outlineLevelRow="0" outlineLevelCol="0"/>
  <cols>
    <col collapsed="false" customWidth="true" hidden="false" outlineLevel="0" max="1" min="1" style="0" width="10.85"/>
    <col collapsed="false" customWidth="true" hidden="false" outlineLevel="0" max="4" min="4" style="0" width="10"/>
    <col collapsed="false" customWidth="true" hidden="false" outlineLevel="0" max="5" min="5" style="0" width="45.71"/>
    <col collapsed="false" customWidth="true" hidden="false" outlineLevel="0" max="6" min="6" style="0" width="10.29"/>
    <col collapsed="false" customWidth="true" hidden="false" outlineLevel="0" max="7" min="7" style="0" width="10.71"/>
    <col collapsed="false" customWidth="true" hidden="false" outlineLevel="0" max="8" min="8" style="0" width="11"/>
    <col collapsed="false" customWidth="true" hidden="false" outlineLevel="0" max="9" min="9" style="0" width="11.57"/>
    <col collapsed="false" customWidth="true" hidden="false" outlineLevel="0" max="21" min="10" style="0" width="7.71"/>
  </cols>
  <sheetData>
    <row r="1" customFormat="false" ht="25.5" hidden="false" customHeight="true" outlineLevel="0" collapsed="false">
      <c r="A1" s="1"/>
      <c r="B1" s="2"/>
      <c r="C1" s="2"/>
      <c r="D1" s="2"/>
      <c r="E1" s="3" t="s">
        <v>0</v>
      </c>
      <c r="F1" s="2"/>
      <c r="G1" s="2"/>
      <c r="H1" s="2"/>
      <c r="I1" s="4"/>
    </row>
    <row r="2" customFormat="false" ht="25.5" hidden="false" customHeight="true" outlineLevel="0" collapsed="false">
      <c r="A2" s="5" t="s">
        <v>1</v>
      </c>
      <c r="G2" s="6" t="s">
        <v>2</v>
      </c>
      <c r="H2" s="7" t="s">
        <v>3</v>
      </c>
      <c r="I2" s="8"/>
    </row>
    <row r="3" customFormat="false" ht="25.5" hidden="false" customHeight="true" outlineLevel="0" collapsed="false">
      <c r="A3" s="9" t="s">
        <v>4</v>
      </c>
      <c r="B3" s="10"/>
      <c r="C3" s="10"/>
      <c r="D3" s="11"/>
      <c r="E3" s="12" t="s">
        <v>2</v>
      </c>
      <c r="F3" s="13" t="s">
        <v>5</v>
      </c>
      <c r="G3" s="14"/>
      <c r="H3" s="14"/>
      <c r="I3" s="15"/>
    </row>
    <row r="4" customFormat="false" ht="25.5" hidden="false" customHeight="true" outlineLevel="0" collapsed="false">
      <c r="A4" s="16" t="s">
        <v>2</v>
      </c>
      <c r="B4" s="17" t="s">
        <v>2</v>
      </c>
      <c r="C4" s="18" t="s">
        <v>6</v>
      </c>
      <c r="D4" s="19"/>
      <c r="E4" s="17" t="s">
        <v>7</v>
      </c>
      <c r="F4" s="20" t="s">
        <v>2</v>
      </c>
      <c r="G4" s="17" t="s">
        <v>2</v>
      </c>
      <c r="H4" s="18" t="s">
        <v>6</v>
      </c>
      <c r="I4" s="21"/>
    </row>
    <row r="5" customFormat="false" ht="25.5" hidden="false" customHeight="true" outlineLevel="0" collapsed="false">
      <c r="A5" s="22" t="n">
        <v>2016</v>
      </c>
      <c r="B5" s="23" t="n">
        <v>2015</v>
      </c>
      <c r="C5" s="24" t="s">
        <v>8</v>
      </c>
      <c r="D5" s="25" t="s">
        <v>9</v>
      </c>
      <c r="E5" s="26"/>
      <c r="F5" s="22" t="n">
        <v>2016</v>
      </c>
      <c r="G5" s="23" t="n">
        <v>2015</v>
      </c>
      <c r="H5" s="27" t="s">
        <v>8</v>
      </c>
      <c r="I5" s="28" t="s">
        <v>9</v>
      </c>
    </row>
    <row r="6" customFormat="false" ht="25.5" hidden="false" customHeight="true" outlineLevel="0" collapsed="false">
      <c r="A6" s="29" t="n">
        <f aca="false">A7+A13</f>
        <v>711</v>
      </c>
      <c r="B6" s="29" t="n">
        <f aca="false">B7+B13</f>
        <v>706</v>
      </c>
      <c r="C6" s="30" t="n">
        <f aca="false">C7+C13</f>
        <v>5</v>
      </c>
      <c r="D6" s="31" t="n">
        <f aca="false">C6/B6*1</f>
        <v>0.00708215297450425</v>
      </c>
      <c r="E6" s="27" t="s">
        <v>10</v>
      </c>
      <c r="F6" s="29" t="n">
        <f aca="false">F7+F13</f>
        <v>6773</v>
      </c>
      <c r="G6" s="29" t="n">
        <f aca="false">G7+G13</f>
        <v>6942</v>
      </c>
      <c r="H6" s="32" t="n">
        <f aca="false">H7+H13</f>
        <v>-169</v>
      </c>
      <c r="I6" s="33" t="n">
        <f aca="false">H6/G6*1</f>
        <v>-0.0243445692883895</v>
      </c>
    </row>
    <row r="7" customFormat="false" ht="25.5" hidden="false" customHeight="true" outlineLevel="0" collapsed="false">
      <c r="A7" s="29" t="n">
        <f aca="false">SUM(A8:A12)</f>
        <v>140</v>
      </c>
      <c r="B7" s="29" t="n">
        <f aca="false">SUM(B8:B12)</f>
        <v>154</v>
      </c>
      <c r="C7" s="34" t="n">
        <f aca="false">SUM(C8:C12)</f>
        <v>-14</v>
      </c>
      <c r="D7" s="35" t="n">
        <f aca="false">C7/B7*1</f>
        <v>-0.0909090909090909</v>
      </c>
      <c r="E7" s="26" t="s">
        <v>11</v>
      </c>
      <c r="F7" s="29" t="n">
        <f aca="false">SUM(F8:F12)</f>
        <v>1250</v>
      </c>
      <c r="G7" s="29" t="n">
        <f aca="false">SUM(G8:G12)</f>
        <v>1384</v>
      </c>
      <c r="H7" s="36" t="n">
        <f aca="false">SUM(H8:H12)</f>
        <v>-134</v>
      </c>
      <c r="I7" s="33" t="n">
        <f aca="false">H7/G7*1</f>
        <v>-0.0968208092485549</v>
      </c>
    </row>
    <row r="8" customFormat="false" ht="25.5" hidden="false" customHeight="true" outlineLevel="0" collapsed="false">
      <c r="A8" s="37" t="n">
        <v>23</v>
      </c>
      <c r="B8" s="38" t="n">
        <v>19</v>
      </c>
      <c r="C8" s="30" t="n">
        <f aca="false">A8-B8</f>
        <v>4</v>
      </c>
      <c r="D8" s="39" t="n">
        <f aca="false">C8/B8*1</f>
        <v>0.210526315789474</v>
      </c>
      <c r="E8" s="40" t="s">
        <v>12</v>
      </c>
      <c r="F8" s="30" t="n">
        <v>126</v>
      </c>
      <c r="G8" s="38" t="n">
        <v>84</v>
      </c>
      <c r="H8" s="38" t="n">
        <f aca="false">F8-G8</f>
        <v>42</v>
      </c>
      <c r="I8" s="39" t="n">
        <f aca="false">H8/G8*1</f>
        <v>0.5</v>
      </c>
    </row>
    <row r="9" customFormat="false" ht="25.5" hidden="false" customHeight="true" outlineLevel="0" collapsed="false">
      <c r="A9" s="37" t="n">
        <v>1</v>
      </c>
      <c r="B9" s="38" t="n">
        <v>3</v>
      </c>
      <c r="C9" s="30" t="n">
        <f aca="false">A9-B9</f>
        <v>-2</v>
      </c>
      <c r="D9" s="41" t="n">
        <f aca="false">C9/B9*1</f>
        <v>-0.666666666666667</v>
      </c>
      <c r="E9" s="40" t="s">
        <v>13</v>
      </c>
      <c r="F9" s="30" t="n">
        <v>13</v>
      </c>
      <c r="G9" s="38" t="n">
        <v>22</v>
      </c>
      <c r="H9" s="38" t="n">
        <f aca="false">F9-G9</f>
        <v>-9</v>
      </c>
      <c r="I9" s="39" t="n">
        <f aca="false">H9/G9*1</f>
        <v>-0.409090909090909</v>
      </c>
    </row>
    <row r="10" customFormat="false" ht="25.5" hidden="false" customHeight="true" outlineLevel="0" collapsed="false">
      <c r="A10" s="37" t="n">
        <v>0</v>
      </c>
      <c r="B10" s="38" t="n">
        <v>0</v>
      </c>
      <c r="C10" s="30" t="n">
        <f aca="false">A10-B10</f>
        <v>0</v>
      </c>
      <c r="D10" s="39" t="n">
        <v>0</v>
      </c>
      <c r="E10" s="40" t="s">
        <v>14</v>
      </c>
      <c r="F10" s="30" t="n">
        <v>0</v>
      </c>
      <c r="G10" s="38" t="n">
        <v>1</v>
      </c>
      <c r="H10" s="38" t="n">
        <f aca="false">F10-G10</f>
        <v>-1</v>
      </c>
      <c r="I10" s="39" t="n">
        <f aca="false">H10/G10*1</f>
        <v>-1</v>
      </c>
    </row>
    <row r="11" customFormat="false" ht="25.5" hidden="false" customHeight="true" outlineLevel="0" collapsed="false">
      <c r="A11" s="37" t="n">
        <v>63</v>
      </c>
      <c r="B11" s="38" t="n">
        <v>106</v>
      </c>
      <c r="C11" s="30" t="n">
        <f aca="false">A11-B11</f>
        <v>-43</v>
      </c>
      <c r="D11" s="41" t="n">
        <f aca="false">C11/B11*1</f>
        <v>-0.405660377358491</v>
      </c>
      <c r="E11" s="40" t="s">
        <v>15</v>
      </c>
      <c r="F11" s="30" t="n">
        <v>676</v>
      </c>
      <c r="G11" s="38" t="n">
        <v>897</v>
      </c>
      <c r="H11" s="38" t="n">
        <f aca="false">F11-G11</f>
        <v>-221</v>
      </c>
      <c r="I11" s="39" t="n">
        <f aca="false">H11/G11*1</f>
        <v>-0.246376811594203</v>
      </c>
    </row>
    <row r="12" customFormat="false" ht="25.5" hidden="false" customHeight="true" outlineLevel="0" collapsed="false">
      <c r="A12" s="37" t="n">
        <v>53</v>
      </c>
      <c r="B12" s="38" t="n">
        <v>26</v>
      </c>
      <c r="C12" s="30" t="n">
        <f aca="false">A12-B12</f>
        <v>27</v>
      </c>
      <c r="D12" s="35" t="n">
        <f aca="false">C12/B12*1</f>
        <v>1.03846153846154</v>
      </c>
      <c r="E12" s="40" t="s">
        <v>16</v>
      </c>
      <c r="F12" s="30" t="n">
        <v>435</v>
      </c>
      <c r="G12" s="38" t="n">
        <v>380</v>
      </c>
      <c r="H12" s="29" t="n">
        <f aca="false">F12-G12</f>
        <v>55</v>
      </c>
      <c r="I12" s="39" t="n">
        <f aca="false">H12/G12*1</f>
        <v>0.144736842105263</v>
      </c>
    </row>
    <row r="13" customFormat="false" ht="25.5" hidden="false" customHeight="true" outlineLevel="0" collapsed="false">
      <c r="A13" s="42" t="n">
        <f aca="false">SUM(A14:A16)</f>
        <v>571</v>
      </c>
      <c r="B13" s="36" t="n">
        <f aca="false">SUM(B14:B16)</f>
        <v>552</v>
      </c>
      <c r="C13" s="34" t="n">
        <f aca="false">SUM(C14:C17)</f>
        <v>19</v>
      </c>
      <c r="D13" s="33" t="n">
        <f aca="false">C13/B13*1</f>
        <v>0.0344202898550725</v>
      </c>
      <c r="E13" s="43" t="s">
        <v>17</v>
      </c>
      <c r="F13" s="44" t="n">
        <f aca="false">SUM(F14:F16)</f>
        <v>5523</v>
      </c>
      <c r="G13" s="36" t="n">
        <f aca="false">SUM(G14:G16)</f>
        <v>5558</v>
      </c>
      <c r="H13" s="36" t="n">
        <f aca="false">SUM(H14:H17)</f>
        <v>-35</v>
      </c>
      <c r="I13" s="33" t="n">
        <f aca="false">H13/G13*1</f>
        <v>-0.00629722921914358</v>
      </c>
    </row>
    <row r="14" customFormat="false" ht="25.5" hidden="false" customHeight="true" outlineLevel="0" collapsed="false">
      <c r="A14" s="37" t="n">
        <v>88</v>
      </c>
      <c r="B14" s="32" t="n">
        <v>107</v>
      </c>
      <c r="C14" s="32" t="n">
        <f aca="false">A14-B14</f>
        <v>-19</v>
      </c>
      <c r="D14" s="41" t="n">
        <f aca="false">C14/B14*1</f>
        <v>-0.177570093457944</v>
      </c>
      <c r="E14" s="40" t="s">
        <v>18</v>
      </c>
      <c r="F14" s="30" t="n">
        <v>892</v>
      </c>
      <c r="G14" s="38" t="n">
        <v>1027</v>
      </c>
      <c r="H14" s="32" t="n">
        <f aca="false">F14-G14</f>
        <v>-135</v>
      </c>
      <c r="I14" s="39" t="n">
        <f aca="false">H14/G14*1</f>
        <v>-0.131450827653359</v>
      </c>
    </row>
    <row r="15" customFormat="false" ht="25.5" hidden="false" customHeight="true" outlineLevel="0" collapsed="false">
      <c r="A15" s="37" t="n">
        <v>403</v>
      </c>
      <c r="B15" s="38" t="n">
        <v>377</v>
      </c>
      <c r="C15" s="38" t="n">
        <f aca="false">A15-B15</f>
        <v>26</v>
      </c>
      <c r="D15" s="41" t="n">
        <f aca="false">C15/B15*1</f>
        <v>0.0689655172413793</v>
      </c>
      <c r="E15" s="40" t="s">
        <v>19</v>
      </c>
      <c r="F15" s="30" t="n">
        <v>3858</v>
      </c>
      <c r="G15" s="38" t="n">
        <v>3707</v>
      </c>
      <c r="H15" s="38" t="n">
        <f aca="false">F15-G15</f>
        <v>151</v>
      </c>
      <c r="I15" s="39" t="n">
        <f aca="false">H15/G15*1</f>
        <v>0.040733746965201</v>
      </c>
    </row>
    <row r="16" customFormat="false" ht="25.5" hidden="false" customHeight="true" outlineLevel="0" collapsed="false">
      <c r="A16" s="45" t="n">
        <v>80</v>
      </c>
      <c r="B16" s="29" t="n">
        <v>68</v>
      </c>
      <c r="C16" s="45" t="n">
        <f aca="false">A16-B16</f>
        <v>12</v>
      </c>
      <c r="D16" s="35" t="n">
        <f aca="false">C16/B16*1</f>
        <v>0.176470588235294</v>
      </c>
      <c r="E16" s="46" t="s">
        <v>20</v>
      </c>
      <c r="F16" s="47" t="n">
        <v>773</v>
      </c>
      <c r="G16" s="29" t="n">
        <v>824</v>
      </c>
      <c r="H16" s="29" t="n">
        <f aca="false">F16-G16</f>
        <v>-51</v>
      </c>
      <c r="I16" s="35" t="n">
        <f aca="false">H16/G16*1</f>
        <v>-0.0618932038834951</v>
      </c>
    </row>
    <row r="17" customFormat="false" ht="13.5" hidden="false" customHeight="false" outlineLevel="0" collapsed="false">
      <c r="I17" s="48"/>
    </row>
    <row r="18" customFormat="false" ht="12.75" hidden="false" customHeight="false" outlineLevel="0" collapsed="false">
      <c r="I18" s="48"/>
    </row>
    <row r="19" customFormat="false" ht="25.5" hidden="false" customHeight="true" outlineLevel="0" collapsed="false"/>
    <row r="20" customFormat="false" ht="25.5" hidden="false" customHeight="true" outlineLevel="0" collapsed="false">
      <c r="A20" s="1"/>
      <c r="B20" s="2"/>
      <c r="C20" s="49"/>
      <c r="D20" s="49"/>
      <c r="E20" s="3" t="s">
        <v>21</v>
      </c>
      <c r="F20" s="49"/>
      <c r="G20" s="49"/>
      <c r="H20" s="2"/>
      <c r="I20" s="4"/>
    </row>
    <row r="21" customFormat="false" ht="25.5" hidden="false" customHeight="true" outlineLevel="0" collapsed="false">
      <c r="A21" s="5" t="s">
        <v>1</v>
      </c>
      <c r="G21" s="6" t="s">
        <v>2</v>
      </c>
      <c r="H21" s="7" t="s">
        <v>3</v>
      </c>
      <c r="I21" s="8"/>
    </row>
    <row r="22" customFormat="false" ht="25.5" hidden="false" customHeight="true" outlineLevel="0" collapsed="false">
      <c r="A22" s="9" t="s">
        <v>4</v>
      </c>
      <c r="B22" s="10"/>
      <c r="C22" s="10"/>
      <c r="D22" s="11"/>
      <c r="E22" s="12" t="s">
        <v>2</v>
      </c>
      <c r="F22" s="13" t="s">
        <v>5</v>
      </c>
      <c r="G22" s="14"/>
      <c r="H22" s="14"/>
      <c r="I22" s="15"/>
    </row>
    <row r="23" customFormat="false" ht="25.5" hidden="false" customHeight="true" outlineLevel="0" collapsed="false">
      <c r="A23" s="16" t="s">
        <v>2</v>
      </c>
      <c r="B23" s="17" t="s">
        <v>2</v>
      </c>
      <c r="C23" s="18" t="s">
        <v>6</v>
      </c>
      <c r="D23" s="19"/>
      <c r="E23" s="17" t="s">
        <v>7</v>
      </c>
      <c r="F23" s="20" t="s">
        <v>2</v>
      </c>
      <c r="G23" s="17" t="s">
        <v>2</v>
      </c>
      <c r="H23" s="18" t="s">
        <v>6</v>
      </c>
      <c r="I23" s="21"/>
    </row>
    <row r="24" customFormat="false" ht="25.5" hidden="false" customHeight="true" outlineLevel="0" collapsed="false">
      <c r="A24" s="22" t="n">
        <v>2016</v>
      </c>
      <c r="B24" s="23" t="n">
        <v>2015</v>
      </c>
      <c r="C24" s="24" t="s">
        <v>8</v>
      </c>
      <c r="D24" s="25" t="s">
        <v>9</v>
      </c>
      <c r="E24" s="26"/>
      <c r="F24" s="22" t="n">
        <v>2016</v>
      </c>
      <c r="G24" s="23" t="n">
        <v>2015</v>
      </c>
      <c r="H24" s="28" t="s">
        <v>8</v>
      </c>
      <c r="I24" s="28" t="s">
        <v>9</v>
      </c>
    </row>
    <row r="25" customFormat="false" ht="25.5" hidden="false" customHeight="true" outlineLevel="0" collapsed="false">
      <c r="A25" s="29" t="n">
        <f aca="false">A26+A32</f>
        <v>272</v>
      </c>
      <c r="B25" s="29" t="n">
        <f aca="false">B26+B32</f>
        <v>395</v>
      </c>
      <c r="C25" s="30" t="n">
        <f aca="false">C26+C32</f>
        <v>-123</v>
      </c>
      <c r="D25" s="50" t="n">
        <f aca="false">C25/B25*1</f>
        <v>-0.311392405063291</v>
      </c>
      <c r="E25" s="26" t="s">
        <v>10</v>
      </c>
      <c r="F25" s="29" t="n">
        <f aca="false">F26+F32</f>
        <v>2875</v>
      </c>
      <c r="G25" s="29" t="n">
        <f aca="false">G26+G32</f>
        <v>3368</v>
      </c>
      <c r="H25" s="30" t="n">
        <f aca="false">H26+H32</f>
        <v>-493</v>
      </c>
      <c r="I25" s="33" t="n">
        <f aca="false">H25/G25*1</f>
        <v>-0.146377672209026</v>
      </c>
    </row>
    <row r="26" customFormat="false" ht="25.5" hidden="false" customHeight="true" outlineLevel="0" collapsed="false">
      <c r="A26" s="29" t="n">
        <f aca="false">SUM(A27:A31)</f>
        <v>48</v>
      </c>
      <c r="B26" s="29" t="n">
        <f aca="false">SUM(B27:B31)</f>
        <v>33</v>
      </c>
      <c r="C26" s="34" t="n">
        <f aca="false">SUM(C27:C31)</f>
        <v>15</v>
      </c>
      <c r="D26" s="51" t="n">
        <f aca="false">C26/B26*1</f>
        <v>0.454545454545455</v>
      </c>
      <c r="E26" s="26" t="s">
        <v>11</v>
      </c>
      <c r="F26" s="29" t="n">
        <f aca="false">SUM(F27:F31)</f>
        <v>496</v>
      </c>
      <c r="G26" s="29" t="n">
        <f aca="false">SUM(G27:G31)</f>
        <v>307</v>
      </c>
      <c r="H26" s="36" t="n">
        <f aca="false">SUM(H27:H31)</f>
        <v>189</v>
      </c>
      <c r="I26" s="33" t="n">
        <f aca="false">H26/G26*1</f>
        <v>0.615635179153095</v>
      </c>
    </row>
    <row r="27" customFormat="false" ht="25.5" hidden="false" customHeight="true" outlineLevel="0" collapsed="false">
      <c r="A27" s="37" t="n">
        <v>2</v>
      </c>
      <c r="B27" s="38" t="n">
        <v>2</v>
      </c>
      <c r="C27" s="30" t="n">
        <f aca="false">A27-B27</f>
        <v>0</v>
      </c>
      <c r="D27" s="52" t="n">
        <f aca="false">C27/B27*1</f>
        <v>0</v>
      </c>
      <c r="E27" s="40" t="s">
        <v>12</v>
      </c>
      <c r="F27" s="30" t="n">
        <v>24</v>
      </c>
      <c r="G27" s="38" t="n">
        <v>18</v>
      </c>
      <c r="H27" s="32" t="n">
        <f aca="false">F27-G27</f>
        <v>6</v>
      </c>
      <c r="I27" s="53" t="n">
        <f aca="false">H27/G27</f>
        <v>0.333333333333333</v>
      </c>
    </row>
    <row r="28" customFormat="false" ht="25.5" hidden="false" customHeight="true" outlineLevel="0" collapsed="false">
      <c r="A28" s="37" t="n">
        <v>0</v>
      </c>
      <c r="B28" s="38" t="n">
        <v>3</v>
      </c>
      <c r="C28" s="30" t="n">
        <f aca="false">A28-B28</f>
        <v>-3</v>
      </c>
      <c r="D28" s="39" t="n">
        <v>0</v>
      </c>
      <c r="E28" s="40" t="s">
        <v>13</v>
      </c>
      <c r="F28" s="54" t="n">
        <v>5</v>
      </c>
      <c r="G28" s="38" t="n">
        <v>9</v>
      </c>
      <c r="H28" s="38" t="n">
        <f aca="false">F28-G28</f>
        <v>-4</v>
      </c>
      <c r="I28" s="39" t="n">
        <f aca="false">H28/G28*1</f>
        <v>-0.444444444444444</v>
      </c>
    </row>
    <row r="29" customFormat="false" ht="25.5" hidden="false" customHeight="true" outlineLevel="0" collapsed="false">
      <c r="A29" s="37" t="n">
        <v>0</v>
      </c>
      <c r="B29" s="38" t="n">
        <v>0</v>
      </c>
      <c r="C29" s="30" t="n">
        <f aca="false">A29-B29</f>
        <v>0</v>
      </c>
      <c r="D29" s="39" t="n">
        <v>0</v>
      </c>
      <c r="E29" s="40" t="s">
        <v>14</v>
      </c>
      <c r="F29" s="30" t="n">
        <v>0</v>
      </c>
      <c r="G29" s="38" t="n">
        <v>0</v>
      </c>
      <c r="H29" s="38" t="n">
        <f aca="false">F29-G29</f>
        <v>0</v>
      </c>
      <c r="I29" s="39" t="n">
        <v>0</v>
      </c>
    </row>
    <row r="30" customFormat="false" ht="25.5" hidden="false" customHeight="true" outlineLevel="0" collapsed="false">
      <c r="A30" s="37" t="n">
        <v>10</v>
      </c>
      <c r="B30" s="38" t="n">
        <v>16</v>
      </c>
      <c r="C30" s="30" t="n">
        <f aca="false">A30-B30</f>
        <v>-6</v>
      </c>
      <c r="D30" s="52" t="n">
        <f aca="false">C30/B30*1</f>
        <v>-0.375</v>
      </c>
      <c r="E30" s="40" t="s">
        <v>15</v>
      </c>
      <c r="F30" s="54" t="n">
        <v>184</v>
      </c>
      <c r="G30" s="54" t="n">
        <v>173</v>
      </c>
      <c r="H30" s="38" t="n">
        <f aca="false">F30-G30</f>
        <v>11</v>
      </c>
      <c r="I30" s="39" t="n">
        <f aca="false">H30/G30*1</f>
        <v>0.0635838150289017</v>
      </c>
    </row>
    <row r="31" customFormat="false" ht="25.5" hidden="false" customHeight="true" outlineLevel="0" collapsed="false">
      <c r="A31" s="37" t="n">
        <v>36</v>
      </c>
      <c r="B31" s="38" t="n">
        <v>12</v>
      </c>
      <c r="C31" s="30" t="n">
        <f aca="false">A31-B31</f>
        <v>24</v>
      </c>
      <c r="D31" s="51" t="n">
        <f aca="false">C31/B31*1</f>
        <v>2</v>
      </c>
      <c r="E31" s="40" t="s">
        <v>16</v>
      </c>
      <c r="F31" s="54" t="n">
        <v>283</v>
      </c>
      <c r="G31" s="54" t="n">
        <v>107</v>
      </c>
      <c r="H31" s="55" t="n">
        <f aca="false">F31-G31</f>
        <v>176</v>
      </c>
      <c r="I31" s="56" t="n">
        <f aca="false">H31/G31</f>
        <v>1.64485981308411</v>
      </c>
    </row>
    <row r="32" customFormat="false" ht="25.5" hidden="false" customHeight="true" outlineLevel="0" collapsed="false">
      <c r="A32" s="42" t="n">
        <f aca="false">SUM(A33:A35)</f>
        <v>224</v>
      </c>
      <c r="B32" s="36" t="n">
        <f aca="false">SUM(B33:B35)</f>
        <v>362</v>
      </c>
      <c r="C32" s="34" t="n">
        <f aca="false">SUM(C33:C36)</f>
        <v>-138</v>
      </c>
      <c r="D32" s="51" t="n">
        <f aca="false">C32/B32*1</f>
        <v>-0.38121546961326</v>
      </c>
      <c r="E32" s="27" t="s">
        <v>17</v>
      </c>
      <c r="F32" s="44" t="n">
        <f aca="false">SUM(F33:F35)</f>
        <v>2379</v>
      </c>
      <c r="G32" s="36" t="n">
        <f aca="false">SUM(G33:G35)</f>
        <v>3061</v>
      </c>
      <c r="H32" s="36" t="n">
        <f aca="false">SUM(H33:H36)</f>
        <v>-682</v>
      </c>
      <c r="I32" s="33" t="n">
        <f aca="false">H32/G32*1</f>
        <v>-0.222803005553741</v>
      </c>
    </row>
    <row r="33" customFormat="false" ht="25.5" hidden="false" customHeight="true" outlineLevel="0" collapsed="false">
      <c r="A33" s="37" t="n">
        <v>66</v>
      </c>
      <c r="B33" s="38" t="n">
        <v>76</v>
      </c>
      <c r="C33" s="30" t="n">
        <f aca="false">A33-B33</f>
        <v>-10</v>
      </c>
      <c r="D33" s="52" t="n">
        <f aca="false">C33/B33*1</f>
        <v>-0.131578947368421</v>
      </c>
      <c r="E33" s="40" t="s">
        <v>18</v>
      </c>
      <c r="F33" s="54" t="n">
        <v>607</v>
      </c>
      <c r="G33" s="54" t="n">
        <v>879</v>
      </c>
      <c r="H33" s="54" t="n">
        <f aca="false">F33-G33</f>
        <v>-272</v>
      </c>
      <c r="I33" s="53" t="n">
        <f aca="false">H33/G33</f>
        <v>-0.309442548350398</v>
      </c>
    </row>
    <row r="34" customFormat="false" ht="25.5" hidden="false" customHeight="true" outlineLevel="0" collapsed="false">
      <c r="A34" s="37" t="n">
        <v>127</v>
      </c>
      <c r="B34" s="38" t="n">
        <v>248</v>
      </c>
      <c r="C34" s="30" t="n">
        <f aca="false">A34-B34</f>
        <v>-121</v>
      </c>
      <c r="D34" s="57" t="n">
        <f aca="false">C34/B34*1</f>
        <v>-0.487903225806452</v>
      </c>
      <c r="E34" s="40" t="s">
        <v>19</v>
      </c>
      <c r="F34" s="54" t="n">
        <v>1526</v>
      </c>
      <c r="G34" s="38" t="n">
        <v>1878</v>
      </c>
      <c r="H34" s="54" t="n">
        <f aca="false">F34-G34</f>
        <v>-352</v>
      </c>
      <c r="I34" s="58" t="n">
        <f aca="false">H34/G34</f>
        <v>-0.187433439829606</v>
      </c>
    </row>
    <row r="35" customFormat="false" ht="25.5" hidden="false" customHeight="true" outlineLevel="0" collapsed="false">
      <c r="A35" s="45" t="n">
        <v>31</v>
      </c>
      <c r="B35" s="29" t="n">
        <v>38</v>
      </c>
      <c r="C35" s="29" t="n">
        <f aca="false">A35-B35</f>
        <v>-7</v>
      </c>
      <c r="D35" s="51" t="n">
        <f aca="false">C35/B35*1</f>
        <v>-0.184210526315789</v>
      </c>
      <c r="E35" s="46" t="s">
        <v>20</v>
      </c>
      <c r="F35" s="55" t="n">
        <v>246</v>
      </c>
      <c r="G35" s="55" t="n">
        <v>304</v>
      </c>
      <c r="H35" s="55" t="n">
        <f aca="false">F35-G35</f>
        <v>-58</v>
      </c>
      <c r="I35" s="56" t="n">
        <f aca="false">H35/G35</f>
        <v>-0.190789473684211</v>
      </c>
    </row>
    <row r="36" customFormat="false" ht="13.5" hidden="false" customHeight="false" outlineLevel="0" collapsed="false"/>
    <row r="38" customFormat="false" ht="25.5" hidden="false" customHeight="true" outlineLevel="0" collapsed="false"/>
    <row r="39" customFormat="false" ht="25.5" hidden="false" customHeight="true" outlineLevel="0" collapsed="false"/>
    <row r="40" customFormat="false" ht="25.5" hidden="false" customHeight="true" outlineLevel="0" collapsed="false">
      <c r="A40" s="1"/>
      <c r="B40" s="2"/>
      <c r="C40" s="2"/>
      <c r="D40" s="2"/>
      <c r="E40" s="59" t="s">
        <v>22</v>
      </c>
      <c r="F40" s="2"/>
      <c r="G40" s="2"/>
      <c r="H40" s="2"/>
      <c r="I40" s="4"/>
    </row>
    <row r="41" customFormat="false" ht="25.5" hidden="false" customHeight="true" outlineLevel="0" collapsed="false">
      <c r="A41" s="5" t="s">
        <v>1</v>
      </c>
      <c r="G41" s="6" t="s">
        <v>2</v>
      </c>
      <c r="H41" s="7" t="s">
        <v>3</v>
      </c>
      <c r="I41" s="8"/>
    </row>
    <row r="42" customFormat="false" ht="25.5" hidden="false" customHeight="true" outlineLevel="0" collapsed="false">
      <c r="A42" s="9" t="str">
        <f aca="false">A3</f>
        <v>     Mes del 1 al 31 de octubre</v>
      </c>
      <c r="B42" s="10"/>
      <c r="C42" s="10"/>
      <c r="D42" s="11"/>
      <c r="E42" s="12" t="s">
        <v>2</v>
      </c>
      <c r="F42" s="13" t="str">
        <f aca="false">F3</f>
        <v>Acumulado al 31 de octubre</v>
      </c>
      <c r="G42" s="14"/>
      <c r="H42" s="14"/>
      <c r="I42" s="15"/>
    </row>
    <row r="43" customFormat="false" ht="25.5" hidden="false" customHeight="true" outlineLevel="0" collapsed="false">
      <c r="A43" s="16" t="s">
        <v>2</v>
      </c>
      <c r="B43" s="17" t="s">
        <v>2</v>
      </c>
      <c r="C43" s="18" t="s">
        <v>6</v>
      </c>
      <c r="D43" s="19"/>
      <c r="E43" s="17" t="s">
        <v>7</v>
      </c>
      <c r="F43" s="20" t="s">
        <v>2</v>
      </c>
      <c r="G43" s="17" t="s">
        <v>2</v>
      </c>
      <c r="H43" s="18" t="s">
        <v>6</v>
      </c>
      <c r="I43" s="21"/>
    </row>
    <row r="44" customFormat="false" ht="25.5" hidden="false" customHeight="true" outlineLevel="0" collapsed="false">
      <c r="A44" s="22" t="n">
        <v>2016</v>
      </c>
      <c r="B44" s="23" t="n">
        <v>2015</v>
      </c>
      <c r="C44" s="24" t="s">
        <v>8</v>
      </c>
      <c r="D44" s="25" t="s">
        <v>9</v>
      </c>
      <c r="E44" s="26"/>
      <c r="F44" s="22" t="n">
        <v>2016</v>
      </c>
      <c r="G44" s="23" t="n">
        <v>2015</v>
      </c>
      <c r="H44" s="28" t="s">
        <v>8</v>
      </c>
      <c r="I44" s="28" t="s">
        <v>9</v>
      </c>
    </row>
    <row r="45" customFormat="false" ht="25.5" hidden="false" customHeight="true" outlineLevel="0" collapsed="false">
      <c r="A45" s="29" t="n">
        <f aca="false">A46+A52</f>
        <v>293</v>
      </c>
      <c r="B45" s="29" t="n">
        <f aca="false">B46+B52</f>
        <v>300</v>
      </c>
      <c r="C45" s="30" t="n">
        <f aca="false">C46+C52</f>
        <v>-7</v>
      </c>
      <c r="D45" s="50" t="n">
        <f aca="false">C45/B45*1</f>
        <v>-0.0233333333333333</v>
      </c>
      <c r="E45" s="26" t="s">
        <v>10</v>
      </c>
      <c r="F45" s="29" t="n">
        <f aca="false">F46+F52</f>
        <v>3006</v>
      </c>
      <c r="G45" s="29" t="n">
        <f aca="false">G46+G52</f>
        <v>3138</v>
      </c>
      <c r="H45" s="36" t="n">
        <f aca="false">H46+H52</f>
        <v>-132</v>
      </c>
      <c r="I45" s="33" t="n">
        <f aca="false">H45/G45*1</f>
        <v>-0.0420650095602295</v>
      </c>
    </row>
    <row r="46" customFormat="false" ht="25.5" hidden="false" customHeight="true" outlineLevel="0" collapsed="false">
      <c r="A46" s="29" t="n">
        <f aca="false">SUM(A47:A51)</f>
        <v>54</v>
      </c>
      <c r="B46" s="29" t="n">
        <f aca="false">SUM(B47:B51)</f>
        <v>65</v>
      </c>
      <c r="C46" s="34" t="n">
        <f aca="false">SUM(C47:C51)</f>
        <v>-11</v>
      </c>
      <c r="D46" s="51" t="n">
        <f aca="false">C46/B46*1</f>
        <v>-0.169230769230769</v>
      </c>
      <c r="E46" s="26" t="s">
        <v>11</v>
      </c>
      <c r="F46" s="29" t="n">
        <f aca="false">SUM(F47:F51)</f>
        <v>657</v>
      </c>
      <c r="G46" s="29" t="n">
        <f aca="false">SUM(G47:G51)</f>
        <v>634</v>
      </c>
      <c r="H46" s="36" t="n">
        <f aca="false">SUM(H47:H51)</f>
        <v>23</v>
      </c>
      <c r="I46" s="33" t="n">
        <f aca="false">H46/G46*1</f>
        <v>0.0362776025236593</v>
      </c>
    </row>
    <row r="47" customFormat="false" ht="25.5" hidden="false" customHeight="true" outlineLevel="0" collapsed="false">
      <c r="A47" s="37" t="n">
        <v>9</v>
      </c>
      <c r="B47" s="38" t="n">
        <v>5</v>
      </c>
      <c r="C47" s="30" t="n">
        <f aca="false">A47-B47</f>
        <v>4</v>
      </c>
      <c r="D47" s="52" t="n">
        <f aca="false">C47/B47*1</f>
        <v>0.8</v>
      </c>
      <c r="E47" s="40" t="s">
        <v>12</v>
      </c>
      <c r="F47" s="30" t="n">
        <v>70</v>
      </c>
      <c r="G47" s="38" t="n">
        <v>51</v>
      </c>
      <c r="H47" s="32" t="n">
        <f aca="false">F47-G47</f>
        <v>19</v>
      </c>
      <c r="I47" s="53" t="n">
        <f aca="false">H47/G47</f>
        <v>0.372549019607843</v>
      </c>
    </row>
    <row r="48" customFormat="false" ht="25.5" hidden="false" customHeight="true" outlineLevel="0" collapsed="false">
      <c r="A48" s="37" t="n">
        <v>3</v>
      </c>
      <c r="B48" s="38" t="n">
        <v>0</v>
      </c>
      <c r="C48" s="30" t="n">
        <f aca="false">A48-B48</f>
        <v>3</v>
      </c>
      <c r="D48" s="39" t="n">
        <v>0</v>
      </c>
      <c r="E48" s="40" t="s">
        <v>13</v>
      </c>
      <c r="F48" s="30" t="n">
        <v>16</v>
      </c>
      <c r="G48" s="38" t="n">
        <v>12</v>
      </c>
      <c r="H48" s="38" t="n">
        <f aca="false">F48-G48</f>
        <v>4</v>
      </c>
      <c r="I48" s="39" t="n">
        <f aca="false">H48/G48*1</f>
        <v>0.333333333333333</v>
      </c>
    </row>
    <row r="49" customFormat="false" ht="25.5" hidden="false" customHeight="true" outlineLevel="0" collapsed="false">
      <c r="A49" s="37" t="n">
        <v>1</v>
      </c>
      <c r="B49" s="38" t="n">
        <v>0</v>
      </c>
      <c r="C49" s="30" t="n">
        <f aca="false">A49-B49</f>
        <v>1</v>
      </c>
      <c r="D49" s="39" t="n">
        <v>0</v>
      </c>
      <c r="E49" s="40" t="s">
        <v>14</v>
      </c>
      <c r="F49" s="30" t="n">
        <v>1</v>
      </c>
      <c r="G49" s="38" t="n">
        <v>0</v>
      </c>
      <c r="H49" s="38" t="n">
        <f aca="false">F49-G49</f>
        <v>1</v>
      </c>
      <c r="I49" s="39" t="n">
        <v>0</v>
      </c>
    </row>
    <row r="50" customFormat="false" ht="25.5" hidden="false" customHeight="true" outlineLevel="0" collapsed="false">
      <c r="A50" s="37" t="n">
        <v>16</v>
      </c>
      <c r="B50" s="38" t="n">
        <v>20</v>
      </c>
      <c r="C50" s="30" t="n">
        <f aca="false">A50-B50</f>
        <v>-4</v>
      </c>
      <c r="D50" s="52" t="n">
        <f aca="false">C50/B50*1</f>
        <v>-0.2</v>
      </c>
      <c r="E50" s="40" t="s">
        <v>15</v>
      </c>
      <c r="F50" s="30" t="n">
        <v>156</v>
      </c>
      <c r="G50" s="38" t="n">
        <v>193</v>
      </c>
      <c r="H50" s="38" t="n">
        <f aca="false">F50-G50</f>
        <v>-37</v>
      </c>
      <c r="I50" s="58" t="n">
        <f aca="false">H50/G50</f>
        <v>-0.191709844559585</v>
      </c>
    </row>
    <row r="51" customFormat="false" ht="25.5" hidden="false" customHeight="true" outlineLevel="0" collapsed="false">
      <c r="A51" s="37" t="n">
        <v>25</v>
      </c>
      <c r="B51" s="38" t="n">
        <v>40</v>
      </c>
      <c r="C51" s="30" t="n">
        <f aca="false">A51-B51</f>
        <v>-15</v>
      </c>
      <c r="D51" s="51" t="n">
        <f aca="false">C51/B51*1</f>
        <v>-0.375</v>
      </c>
      <c r="E51" s="40" t="s">
        <v>16</v>
      </c>
      <c r="F51" s="30" t="n">
        <v>414</v>
      </c>
      <c r="G51" s="38" t="n">
        <v>378</v>
      </c>
      <c r="H51" s="55" t="n">
        <f aca="false">F51-G51</f>
        <v>36</v>
      </c>
      <c r="I51" s="56" t="n">
        <f aca="false">H51/G51</f>
        <v>0.0952380952380952</v>
      </c>
    </row>
    <row r="52" customFormat="false" ht="25.5" hidden="false" customHeight="true" outlineLevel="0" collapsed="false">
      <c r="A52" s="36" t="n">
        <f aca="false">SUM(A53:A55)</f>
        <v>239</v>
      </c>
      <c r="B52" s="36" t="n">
        <f aca="false">SUM(B53:B55)</f>
        <v>235</v>
      </c>
      <c r="C52" s="34" t="n">
        <f aca="false">SUM(C53:C56)</f>
        <v>4</v>
      </c>
      <c r="D52" s="51" t="n">
        <f aca="false">C52/B52*1</f>
        <v>0.0170212765957447</v>
      </c>
      <c r="E52" s="43" t="s">
        <v>17</v>
      </c>
      <c r="F52" s="36" t="n">
        <f aca="false">SUM(F53:F55)</f>
        <v>2349</v>
      </c>
      <c r="G52" s="36" t="n">
        <f aca="false">SUM(G53:G55)</f>
        <v>2504</v>
      </c>
      <c r="H52" s="36" t="n">
        <f aca="false">SUM(H53:H56)</f>
        <v>-155</v>
      </c>
      <c r="I52" s="33" t="n">
        <f aca="false">H52/G52*1</f>
        <v>-0.0619009584664537</v>
      </c>
    </row>
    <row r="53" customFormat="false" ht="26.25" hidden="false" customHeight="true" outlineLevel="0" collapsed="false">
      <c r="A53" s="37" t="n">
        <v>58</v>
      </c>
      <c r="B53" s="38" t="n">
        <v>57</v>
      </c>
      <c r="C53" s="30" t="n">
        <f aca="false">A53-B53</f>
        <v>1</v>
      </c>
      <c r="D53" s="39" t="n">
        <f aca="false">C53/B53*1</f>
        <v>0.0175438596491228</v>
      </c>
      <c r="E53" s="40" t="s">
        <v>18</v>
      </c>
      <c r="F53" s="30" t="n">
        <v>548</v>
      </c>
      <c r="G53" s="38" t="n">
        <v>569</v>
      </c>
      <c r="H53" s="32" t="n">
        <f aca="false">F53-G53</f>
        <v>-21</v>
      </c>
      <c r="I53" s="53" t="n">
        <f aca="false">H53/G53</f>
        <v>-0.0369068541300527</v>
      </c>
    </row>
    <row r="54" customFormat="false" ht="26.25" hidden="false" customHeight="true" outlineLevel="0" collapsed="false">
      <c r="A54" s="37" t="n">
        <v>173</v>
      </c>
      <c r="B54" s="38" t="n">
        <v>171</v>
      </c>
      <c r="C54" s="37" t="n">
        <f aca="false">A54-B54</f>
        <v>2</v>
      </c>
      <c r="D54" s="57" t="n">
        <f aca="false">C54/B54*1</f>
        <v>0.0116959064327485</v>
      </c>
      <c r="E54" s="40" t="s">
        <v>19</v>
      </c>
      <c r="F54" s="30" t="n">
        <v>1702</v>
      </c>
      <c r="G54" s="38" t="n">
        <v>1834</v>
      </c>
      <c r="H54" s="38" t="n">
        <f aca="false">F54-G54</f>
        <v>-132</v>
      </c>
      <c r="I54" s="58" t="n">
        <f aca="false">H54/G54</f>
        <v>-0.0719738276990185</v>
      </c>
    </row>
    <row r="55" customFormat="false" ht="25.5" hidden="false" customHeight="true" outlineLevel="0" collapsed="false">
      <c r="A55" s="45" t="n">
        <v>8</v>
      </c>
      <c r="B55" s="29" t="n">
        <v>7</v>
      </c>
      <c r="C55" s="45" t="n">
        <f aca="false">A55-B55</f>
        <v>1</v>
      </c>
      <c r="D55" s="51" t="n">
        <f aca="false">C55/B55*1</f>
        <v>0.142857142857143</v>
      </c>
      <c r="E55" s="46" t="s">
        <v>20</v>
      </c>
      <c r="F55" s="47" t="n">
        <v>99</v>
      </c>
      <c r="G55" s="29" t="n">
        <v>101</v>
      </c>
      <c r="H55" s="55" t="n">
        <f aca="false">F55-G55</f>
        <v>-2</v>
      </c>
      <c r="I55" s="56" t="n">
        <f aca="false">H55/G55</f>
        <v>-0.0198019801980198</v>
      </c>
    </row>
    <row r="56" customFormat="false" ht="25.5" hidden="false" customHeight="true" outlineLevel="0" collapsed="false">
      <c r="A56" s="60"/>
    </row>
    <row r="57" customFormat="false" ht="25.5" hidden="false" customHeight="true" outlineLevel="0" collapsed="false"/>
    <row r="58" customFormat="false" ht="25.5" hidden="false" customHeight="true" outlineLevel="0" collapsed="false"/>
    <row r="59" customFormat="false" ht="25.5" hidden="false" customHeight="true" outlineLevel="0" collapsed="false">
      <c r="A59" s="61"/>
      <c r="B59" s="2"/>
      <c r="C59" s="2"/>
      <c r="D59" s="2"/>
      <c r="E59" s="59" t="s">
        <v>23</v>
      </c>
      <c r="F59" s="2"/>
      <c r="G59" s="2"/>
      <c r="H59" s="2"/>
      <c r="I59" s="4"/>
    </row>
    <row r="60" customFormat="false" ht="25.5" hidden="false" customHeight="true" outlineLevel="0" collapsed="false">
      <c r="A60" s="5" t="s">
        <v>1</v>
      </c>
      <c r="G60" s="6" t="s">
        <v>2</v>
      </c>
      <c r="H60" s="7" t="s">
        <v>3</v>
      </c>
      <c r="I60" s="8"/>
    </row>
    <row r="61" customFormat="false" ht="25.5" hidden="false" customHeight="true" outlineLevel="0" collapsed="false">
      <c r="A61" s="9" t="str">
        <f aca="false">A3</f>
        <v>     Mes del 1 al 31 de octubre</v>
      </c>
      <c r="B61" s="10"/>
      <c r="C61" s="10"/>
      <c r="D61" s="11"/>
      <c r="E61" s="12" t="s">
        <v>2</v>
      </c>
      <c r="F61" s="13" t="str">
        <f aca="false">F3</f>
        <v>Acumulado al 31 de octubre</v>
      </c>
      <c r="G61" s="14"/>
      <c r="H61" s="14"/>
      <c r="I61" s="15"/>
    </row>
    <row r="62" customFormat="false" ht="25.5" hidden="false" customHeight="true" outlineLevel="0" collapsed="false">
      <c r="A62" s="16" t="s">
        <v>2</v>
      </c>
      <c r="B62" s="17" t="s">
        <v>2</v>
      </c>
      <c r="C62" s="18" t="s">
        <v>6</v>
      </c>
      <c r="D62" s="19"/>
      <c r="E62" s="17" t="s">
        <v>7</v>
      </c>
      <c r="F62" s="20" t="s">
        <v>2</v>
      </c>
      <c r="G62" s="17" t="s">
        <v>2</v>
      </c>
      <c r="H62" s="18" t="s">
        <v>6</v>
      </c>
      <c r="I62" s="21"/>
    </row>
    <row r="63" customFormat="false" ht="25.5" hidden="false" customHeight="true" outlineLevel="0" collapsed="false">
      <c r="A63" s="22" t="n">
        <v>2016</v>
      </c>
      <c r="B63" s="23" t="n">
        <v>2015</v>
      </c>
      <c r="C63" s="24" t="s">
        <v>8</v>
      </c>
      <c r="D63" s="25" t="s">
        <v>9</v>
      </c>
      <c r="E63" s="26"/>
      <c r="F63" s="22" t="n">
        <v>2016</v>
      </c>
      <c r="G63" s="23" t="n">
        <v>2015</v>
      </c>
      <c r="H63" s="28" t="s">
        <v>8</v>
      </c>
      <c r="I63" s="28" t="s">
        <v>9</v>
      </c>
    </row>
    <row r="64" customFormat="false" ht="25.5" hidden="false" customHeight="true" outlineLevel="0" collapsed="false">
      <c r="A64" s="29" t="n">
        <f aca="false">A65+A71</f>
        <v>131</v>
      </c>
      <c r="B64" s="29" t="n">
        <f aca="false">B65+B71</f>
        <v>131</v>
      </c>
      <c r="C64" s="30" t="n">
        <f aca="false">C65+C71</f>
        <v>0</v>
      </c>
      <c r="D64" s="50" t="n">
        <f aca="false">C64/B64*1</f>
        <v>0</v>
      </c>
      <c r="E64" s="26" t="s">
        <v>10</v>
      </c>
      <c r="F64" s="29" t="n">
        <f aca="false">F65+F71</f>
        <v>1171</v>
      </c>
      <c r="G64" s="29" t="n">
        <f aca="false">G65+G71</f>
        <v>1358</v>
      </c>
      <c r="H64" s="30" t="n">
        <f aca="false">H65+H71</f>
        <v>-187</v>
      </c>
      <c r="I64" s="33" t="n">
        <f aca="false">H64/G64*1</f>
        <v>-0.137702503681885</v>
      </c>
    </row>
    <row r="65" customFormat="false" ht="25.5" hidden="false" customHeight="true" outlineLevel="0" collapsed="false">
      <c r="A65" s="29" t="n">
        <f aca="false">SUM(A66:A70)</f>
        <v>33</v>
      </c>
      <c r="B65" s="29" t="n">
        <f aca="false">SUM(B66:B70)</f>
        <v>31</v>
      </c>
      <c r="C65" s="34" t="n">
        <f aca="false">SUM(C66:C70)</f>
        <v>2</v>
      </c>
      <c r="D65" s="51" t="n">
        <f aca="false">C65/B65*1</f>
        <v>0.0645161290322581</v>
      </c>
      <c r="E65" s="26" t="s">
        <v>11</v>
      </c>
      <c r="F65" s="29" t="n">
        <f aca="false">SUM(F66:F70)</f>
        <v>244</v>
      </c>
      <c r="G65" s="29" t="n">
        <f aca="false">SUM(G66:G70)</f>
        <v>254</v>
      </c>
      <c r="H65" s="36" t="n">
        <f aca="false">SUM(H66:H70)</f>
        <v>-10</v>
      </c>
      <c r="I65" s="33" t="n">
        <f aca="false">H65/G65*1</f>
        <v>-0.0393700787401575</v>
      </c>
    </row>
    <row r="66" customFormat="false" ht="25.5" hidden="false" customHeight="true" outlineLevel="0" collapsed="false">
      <c r="A66" s="37" t="n">
        <v>2</v>
      </c>
      <c r="B66" s="38" t="n">
        <v>5</v>
      </c>
      <c r="C66" s="30" t="n">
        <f aca="false">A66-B66</f>
        <v>-3</v>
      </c>
      <c r="D66" s="52" t="n">
        <f aca="false">C66/B66*1</f>
        <v>-0.6</v>
      </c>
      <c r="E66" s="40" t="s">
        <v>12</v>
      </c>
      <c r="F66" s="30" t="n">
        <v>25</v>
      </c>
      <c r="G66" s="38" t="n">
        <v>24</v>
      </c>
      <c r="H66" s="32" t="n">
        <f aca="false">F66-G66</f>
        <v>1</v>
      </c>
      <c r="I66" s="53" t="n">
        <f aca="false">H66/G66</f>
        <v>0.0416666666666667</v>
      </c>
    </row>
    <row r="67" customFormat="false" ht="25.5" hidden="false" customHeight="true" outlineLevel="0" collapsed="false">
      <c r="A67" s="37" t="n">
        <v>3</v>
      </c>
      <c r="B67" s="38" t="n">
        <v>0</v>
      </c>
      <c r="C67" s="30" t="n">
        <f aca="false">A67-B67</f>
        <v>3</v>
      </c>
      <c r="D67" s="39" t="n">
        <v>0</v>
      </c>
      <c r="E67" s="40" t="s">
        <v>13</v>
      </c>
      <c r="F67" s="30" t="n">
        <v>9</v>
      </c>
      <c r="G67" s="38" t="n">
        <v>7</v>
      </c>
      <c r="H67" s="38" t="n">
        <f aca="false">F67-G67</f>
        <v>2</v>
      </c>
      <c r="I67" s="39" t="n">
        <f aca="false">H67/G67*1</f>
        <v>0.285714285714286</v>
      </c>
    </row>
    <row r="68" customFormat="false" ht="25.5" hidden="false" customHeight="true" outlineLevel="0" collapsed="false">
      <c r="A68" s="37" t="n">
        <v>0</v>
      </c>
      <c r="B68" s="38" t="n">
        <v>0</v>
      </c>
      <c r="C68" s="30" t="n">
        <f aca="false">A68-B68</f>
        <v>0</v>
      </c>
      <c r="D68" s="39" t="n">
        <v>0</v>
      </c>
      <c r="E68" s="40" t="s">
        <v>14</v>
      </c>
      <c r="F68" s="30" t="n">
        <v>0</v>
      </c>
      <c r="G68" s="38" t="n">
        <v>0</v>
      </c>
      <c r="H68" s="38" t="n">
        <f aca="false">F68-G68</f>
        <v>0</v>
      </c>
      <c r="I68" s="39" t="n">
        <v>0</v>
      </c>
    </row>
    <row r="69" customFormat="false" ht="25.5" hidden="false" customHeight="true" outlineLevel="0" collapsed="false">
      <c r="A69" s="37" t="n">
        <v>16</v>
      </c>
      <c r="B69" s="38" t="n">
        <v>15</v>
      </c>
      <c r="C69" s="30" t="n">
        <f aca="false">A69-B69</f>
        <v>1</v>
      </c>
      <c r="D69" s="52" t="n">
        <f aca="false">C69/B69*1</f>
        <v>0.0666666666666667</v>
      </c>
      <c r="E69" s="40" t="s">
        <v>15</v>
      </c>
      <c r="F69" s="30" t="n">
        <v>109</v>
      </c>
      <c r="G69" s="38" t="n">
        <v>139</v>
      </c>
      <c r="H69" s="38" t="n">
        <f aca="false">F69-G69</f>
        <v>-30</v>
      </c>
      <c r="I69" s="58" t="n">
        <f aca="false">H69/G69</f>
        <v>-0.215827338129496</v>
      </c>
    </row>
    <row r="70" customFormat="false" ht="25.5" hidden="false" customHeight="true" outlineLevel="0" collapsed="false">
      <c r="A70" s="37" t="n">
        <v>12</v>
      </c>
      <c r="B70" s="38" t="n">
        <v>11</v>
      </c>
      <c r="C70" s="30" t="n">
        <f aca="false">A70-B70</f>
        <v>1</v>
      </c>
      <c r="D70" s="51" t="n">
        <f aca="false">C70/B70*1</f>
        <v>0.0909090909090909</v>
      </c>
      <c r="E70" s="40" t="s">
        <v>16</v>
      </c>
      <c r="F70" s="30" t="n">
        <v>101</v>
      </c>
      <c r="G70" s="38" t="n">
        <v>84</v>
      </c>
      <c r="H70" s="55" t="n">
        <f aca="false">F70-G70</f>
        <v>17</v>
      </c>
      <c r="I70" s="56" t="n">
        <f aca="false">H70/G70</f>
        <v>0.202380952380952</v>
      </c>
    </row>
    <row r="71" customFormat="false" ht="26.25" hidden="false" customHeight="true" outlineLevel="0" collapsed="false">
      <c r="A71" s="36" t="n">
        <f aca="false">SUM(A72:A74)</f>
        <v>98</v>
      </c>
      <c r="B71" s="36" t="n">
        <f aca="false">SUM(B72:B74)</f>
        <v>100</v>
      </c>
      <c r="C71" s="34" t="n">
        <f aca="false">SUM(C72:C75)</f>
        <v>-2</v>
      </c>
      <c r="D71" s="51" t="n">
        <f aca="false">C71/B71*1</f>
        <v>-0.02</v>
      </c>
      <c r="E71" s="27" t="s">
        <v>17</v>
      </c>
      <c r="F71" s="36" t="n">
        <f aca="false">SUM(F72:F74)</f>
        <v>927</v>
      </c>
      <c r="G71" s="36" t="n">
        <f aca="false">SUM(G72:G74)</f>
        <v>1104</v>
      </c>
      <c r="H71" s="36" t="n">
        <f aca="false">SUM(H72:H75)</f>
        <v>-177</v>
      </c>
      <c r="I71" s="33" t="n">
        <f aca="false">H71/G71*1</f>
        <v>-0.160326086956522</v>
      </c>
    </row>
    <row r="72" customFormat="false" ht="25.5" hidden="false" customHeight="true" outlineLevel="0" collapsed="false">
      <c r="A72" s="37" t="n">
        <v>39</v>
      </c>
      <c r="B72" s="38" t="n">
        <v>31</v>
      </c>
      <c r="C72" s="30" t="n">
        <f aca="false">A72-B72</f>
        <v>8</v>
      </c>
      <c r="D72" s="52" t="n">
        <f aca="false">C72/B72*1</f>
        <v>0.258064516129032</v>
      </c>
      <c r="E72" s="40" t="s">
        <v>18</v>
      </c>
      <c r="F72" s="30" t="n">
        <v>356</v>
      </c>
      <c r="G72" s="38" t="n">
        <v>402</v>
      </c>
      <c r="H72" s="32" t="n">
        <f aca="false">F72-G72</f>
        <v>-46</v>
      </c>
      <c r="I72" s="53" t="n">
        <f aca="false">H72/G72</f>
        <v>-0.114427860696517</v>
      </c>
    </row>
    <row r="73" customFormat="false" ht="26.25" hidden="false" customHeight="true" outlineLevel="0" collapsed="false">
      <c r="A73" s="37" t="n">
        <v>54</v>
      </c>
      <c r="B73" s="38" t="n">
        <v>60</v>
      </c>
      <c r="C73" s="30" t="n">
        <f aca="false">A73-B73</f>
        <v>-6</v>
      </c>
      <c r="D73" s="52" t="n">
        <f aca="false">C73/B73*1</f>
        <v>-0.1</v>
      </c>
      <c r="E73" s="40" t="s">
        <v>19</v>
      </c>
      <c r="F73" s="30" t="n">
        <v>520</v>
      </c>
      <c r="G73" s="38" t="n">
        <v>639</v>
      </c>
      <c r="H73" s="38" t="n">
        <f aca="false">F73-G73</f>
        <v>-119</v>
      </c>
      <c r="I73" s="58" t="n">
        <f aca="false">H73/G73</f>
        <v>-0.18622848200313</v>
      </c>
    </row>
    <row r="74" customFormat="false" ht="25.5" hidden="false" customHeight="true" outlineLevel="0" collapsed="false">
      <c r="A74" s="45" t="n">
        <v>5</v>
      </c>
      <c r="B74" s="29" t="n">
        <v>9</v>
      </c>
      <c r="C74" s="45" t="n">
        <f aca="false">A74-B74</f>
        <v>-4</v>
      </c>
      <c r="D74" s="62" t="n">
        <f aca="false">C74/B74*1</f>
        <v>-0.444444444444444</v>
      </c>
      <c r="E74" s="46" t="s">
        <v>20</v>
      </c>
      <c r="F74" s="47" t="n">
        <v>51</v>
      </c>
      <c r="G74" s="29" t="n">
        <v>63</v>
      </c>
      <c r="H74" s="55" t="n">
        <f aca="false">F74-G74</f>
        <v>-12</v>
      </c>
      <c r="I74" s="56" t="n">
        <f aca="false">H74/G74</f>
        <v>-0.19047619047619</v>
      </c>
    </row>
    <row r="75" customFormat="false" ht="25.5" hidden="false" customHeight="true" outlineLevel="0" collapsed="false">
      <c r="E75" s="63"/>
    </row>
    <row r="76" customFormat="false" ht="25.5" hidden="false" customHeight="true" outlineLevel="0" collapsed="false"/>
    <row r="77" customFormat="false" ht="25.5" hidden="false" customHeight="true" outlineLevel="0" collapsed="false"/>
    <row r="78" customFormat="false" ht="25.5" hidden="false" customHeight="true" outlineLevel="0" collapsed="false">
      <c r="A78" s="61"/>
      <c r="B78" s="2"/>
      <c r="C78" s="2"/>
      <c r="D78" s="2"/>
      <c r="E78" s="59" t="s">
        <v>24</v>
      </c>
      <c r="F78" s="2"/>
      <c r="G78" s="2"/>
      <c r="H78" s="2"/>
      <c r="I78" s="4"/>
    </row>
    <row r="79" customFormat="false" ht="25.5" hidden="false" customHeight="true" outlineLevel="0" collapsed="false">
      <c r="A79" s="5" t="s">
        <v>1</v>
      </c>
      <c r="C79" s="64"/>
      <c r="G79" s="6" t="s">
        <v>2</v>
      </c>
      <c r="H79" s="7" t="s">
        <v>3</v>
      </c>
      <c r="I79" s="8"/>
    </row>
    <row r="80" customFormat="false" ht="25.5" hidden="false" customHeight="true" outlineLevel="0" collapsed="false">
      <c r="A80" s="9" t="str">
        <f aca="false">A3</f>
        <v>     Mes del 1 al 31 de octubre</v>
      </c>
      <c r="B80" s="10"/>
      <c r="C80" s="10"/>
      <c r="D80" s="11"/>
      <c r="E80" s="12" t="s">
        <v>2</v>
      </c>
      <c r="F80" s="13" t="str">
        <f aca="false">F3</f>
        <v>Acumulado al 31 de octubre</v>
      </c>
      <c r="G80" s="14"/>
      <c r="H80" s="14"/>
      <c r="I80" s="15"/>
    </row>
    <row r="81" customFormat="false" ht="25.5" hidden="false" customHeight="true" outlineLevel="0" collapsed="false">
      <c r="A81" s="16" t="s">
        <v>2</v>
      </c>
      <c r="B81" s="17" t="s">
        <v>2</v>
      </c>
      <c r="C81" s="18" t="s">
        <v>6</v>
      </c>
      <c r="D81" s="19"/>
      <c r="E81" s="17" t="s">
        <v>7</v>
      </c>
      <c r="F81" s="20" t="s">
        <v>2</v>
      </c>
      <c r="G81" s="17" t="s">
        <v>2</v>
      </c>
      <c r="H81" s="18" t="s">
        <v>6</v>
      </c>
      <c r="I81" s="21"/>
    </row>
    <row r="82" customFormat="false" ht="25.5" hidden="false" customHeight="true" outlineLevel="0" collapsed="false">
      <c r="A82" s="22" t="n">
        <v>2016</v>
      </c>
      <c r="B82" s="23" t="n">
        <v>2015</v>
      </c>
      <c r="C82" s="24" t="s">
        <v>8</v>
      </c>
      <c r="D82" s="25" t="s">
        <v>9</v>
      </c>
      <c r="E82" s="26"/>
      <c r="F82" s="22" t="n">
        <v>2016</v>
      </c>
      <c r="G82" s="23" t="n">
        <v>2015</v>
      </c>
      <c r="H82" s="28" t="s">
        <v>8</v>
      </c>
      <c r="I82" s="28" t="s">
        <v>9</v>
      </c>
    </row>
    <row r="83" customFormat="false" ht="25.5" hidden="false" customHeight="true" outlineLevel="0" collapsed="false">
      <c r="A83" s="29" t="n">
        <f aca="false">A84+A90</f>
        <v>177</v>
      </c>
      <c r="B83" s="29" t="n">
        <f aca="false">B84+B90</f>
        <v>219</v>
      </c>
      <c r="C83" s="30" t="n">
        <f aca="false">C84+C90</f>
        <v>-42</v>
      </c>
      <c r="D83" s="31" t="n">
        <f aca="false">C83/B83*1</f>
        <v>-0.191780821917808</v>
      </c>
      <c r="E83" s="65" t="s">
        <v>10</v>
      </c>
      <c r="F83" s="29" t="n">
        <f aca="false">F84+F90</f>
        <v>1856</v>
      </c>
      <c r="G83" s="29" t="n">
        <f aca="false">G84+G90</f>
        <v>2016</v>
      </c>
      <c r="H83" s="30" t="n">
        <f aca="false">H84+H90</f>
        <v>-601</v>
      </c>
      <c r="I83" s="33" t="n">
        <f aca="false">H83/G83*1</f>
        <v>-0.298115079365079</v>
      </c>
    </row>
    <row r="84" customFormat="false" ht="25.5" hidden="false" customHeight="true" outlineLevel="0" collapsed="false">
      <c r="A84" s="29" t="n">
        <f aca="false">SUM(A85:A89)</f>
        <v>30</v>
      </c>
      <c r="B84" s="29" t="n">
        <f aca="false">SUM(B85:B89)</f>
        <v>39</v>
      </c>
      <c r="C84" s="34" t="n">
        <f aca="false">SUM(C85:C89)</f>
        <v>-9</v>
      </c>
      <c r="D84" s="35" t="n">
        <f aca="false">C84/B84*1</f>
        <v>-0.230769230769231</v>
      </c>
      <c r="E84" s="65" t="s">
        <v>11</v>
      </c>
      <c r="F84" s="29" t="n">
        <f aca="false">SUM(F85:F89)</f>
        <v>358</v>
      </c>
      <c r="G84" s="29" t="n">
        <f aca="false">SUM(G85:G89)</f>
        <v>324</v>
      </c>
      <c r="H84" s="36" t="n">
        <f aca="false">SUM(H85:H89)</f>
        <v>34</v>
      </c>
      <c r="I84" s="33" t="n">
        <f aca="false">H84/G84*1</f>
        <v>0.104938271604938</v>
      </c>
    </row>
    <row r="85" customFormat="false" ht="25.5" hidden="false" customHeight="true" outlineLevel="0" collapsed="false">
      <c r="A85" s="37" t="n">
        <v>1</v>
      </c>
      <c r="B85" s="38" t="n">
        <v>1</v>
      </c>
      <c r="C85" s="30" t="n">
        <f aca="false">A85-B85</f>
        <v>0</v>
      </c>
      <c r="D85" s="41" t="n">
        <f aca="false">C85/B85*1</f>
        <v>0</v>
      </c>
      <c r="E85" s="66" t="s">
        <v>12</v>
      </c>
      <c r="F85" s="30" t="n">
        <v>20</v>
      </c>
      <c r="G85" s="38" t="n">
        <v>14</v>
      </c>
      <c r="H85" s="32" t="n">
        <f aca="false">F85-G85</f>
        <v>6</v>
      </c>
      <c r="I85" s="53" t="n">
        <f aca="false">H85/G85</f>
        <v>0.428571428571429</v>
      </c>
    </row>
    <row r="86" customFormat="false" ht="25.5" hidden="false" customHeight="true" outlineLevel="0" collapsed="false">
      <c r="A86" s="37" t="n">
        <v>0</v>
      </c>
      <c r="B86" s="38" t="n">
        <v>1</v>
      </c>
      <c r="C86" s="30" t="n">
        <f aca="false">A86-B86</f>
        <v>-1</v>
      </c>
      <c r="D86" s="41" t="n">
        <v>0</v>
      </c>
      <c r="E86" s="66" t="s">
        <v>13</v>
      </c>
      <c r="F86" s="30" t="n">
        <v>7</v>
      </c>
      <c r="G86" s="38" t="n">
        <v>11</v>
      </c>
      <c r="H86" s="38" t="n">
        <f aca="false">F86-G86</f>
        <v>-4</v>
      </c>
      <c r="I86" s="39" t="n">
        <f aca="false">H86/G86*1</f>
        <v>-0.363636363636364</v>
      </c>
    </row>
    <row r="87" customFormat="false" ht="25.5" hidden="false" customHeight="true" outlineLevel="0" collapsed="false">
      <c r="A87" s="37" t="n">
        <v>0</v>
      </c>
      <c r="B87" s="38" t="n">
        <v>0</v>
      </c>
      <c r="C87" s="30" t="n">
        <f aca="false">A87-B87</f>
        <v>0</v>
      </c>
      <c r="D87" s="67" t="n">
        <v>0</v>
      </c>
      <c r="E87" s="40" t="s">
        <v>14</v>
      </c>
      <c r="F87" s="30" t="n">
        <v>0</v>
      </c>
      <c r="G87" s="38" t="n">
        <v>0</v>
      </c>
      <c r="H87" s="38" t="n">
        <f aca="false">F87-G87</f>
        <v>0</v>
      </c>
      <c r="I87" s="68" t="n">
        <v>0</v>
      </c>
    </row>
    <row r="88" customFormat="false" ht="25.5" hidden="false" customHeight="true" outlineLevel="0" collapsed="false">
      <c r="A88" s="37" t="n">
        <v>11</v>
      </c>
      <c r="B88" s="38" t="n">
        <v>17</v>
      </c>
      <c r="C88" s="30" t="n">
        <f aca="false">A88-B88</f>
        <v>-6</v>
      </c>
      <c r="D88" s="41" t="n">
        <f aca="false">C88/B88*1</f>
        <v>-0.352941176470588</v>
      </c>
      <c r="E88" s="66" t="s">
        <v>15</v>
      </c>
      <c r="F88" s="30" t="n">
        <v>103</v>
      </c>
      <c r="G88" s="38" t="n">
        <v>99</v>
      </c>
      <c r="H88" s="38" t="n">
        <f aca="false">F88-G88</f>
        <v>4</v>
      </c>
      <c r="I88" s="58" t="n">
        <f aca="false">H88/G88</f>
        <v>0.0404040404040404</v>
      </c>
    </row>
    <row r="89" customFormat="false" ht="25.5" hidden="false" customHeight="true" outlineLevel="0" collapsed="false">
      <c r="A89" s="37" t="n">
        <v>18</v>
      </c>
      <c r="B89" s="38" t="n">
        <v>20</v>
      </c>
      <c r="C89" s="30" t="n">
        <f aca="false">A89-B89</f>
        <v>-2</v>
      </c>
      <c r="D89" s="35" t="n">
        <f aca="false">C89/B89*1</f>
        <v>-0.1</v>
      </c>
      <c r="E89" s="66" t="s">
        <v>16</v>
      </c>
      <c r="F89" s="30" t="n">
        <v>228</v>
      </c>
      <c r="G89" s="38" t="n">
        <v>200</v>
      </c>
      <c r="H89" s="55" t="n">
        <f aca="false">F89-G89</f>
        <v>28</v>
      </c>
      <c r="I89" s="56" t="n">
        <f aca="false">H89/G89</f>
        <v>0.14</v>
      </c>
    </row>
    <row r="90" customFormat="false" ht="25.5" hidden="false" customHeight="true" outlineLevel="0" collapsed="false">
      <c r="A90" s="36" t="n">
        <f aca="false">SUM(A91:A93)</f>
        <v>147</v>
      </c>
      <c r="B90" s="36" t="n">
        <f aca="false">SUM(B91:B93)</f>
        <v>180</v>
      </c>
      <c r="C90" s="34" t="n">
        <f aca="false">SUM(C91:C94)</f>
        <v>-33</v>
      </c>
      <c r="D90" s="35" t="n">
        <f aca="false">C90/B90*1</f>
        <v>-0.183333333333333</v>
      </c>
      <c r="E90" s="43" t="s">
        <v>17</v>
      </c>
      <c r="F90" s="36" t="n">
        <f aca="false">SUM(F91:F93)</f>
        <v>1498</v>
      </c>
      <c r="G90" s="36" t="n">
        <f aca="false">SUM(G91:G93)</f>
        <v>1692</v>
      </c>
      <c r="H90" s="36" t="n">
        <f aca="false">SUM(H91:H94)</f>
        <v>-635</v>
      </c>
      <c r="I90" s="33" t="n">
        <f aca="false">H90/G90*1</f>
        <v>-0.375295508274232</v>
      </c>
    </row>
    <row r="91" customFormat="false" ht="25.5" hidden="false" customHeight="true" outlineLevel="0" collapsed="false">
      <c r="A91" s="37" t="n">
        <v>48</v>
      </c>
      <c r="B91" s="38" t="n">
        <v>42</v>
      </c>
      <c r="C91" s="30" t="n">
        <f aca="false">A91-B91</f>
        <v>6</v>
      </c>
      <c r="D91" s="41" t="n">
        <f aca="false">C91/B91*1</f>
        <v>0.142857142857143</v>
      </c>
      <c r="E91" s="66" t="s">
        <v>18</v>
      </c>
      <c r="F91" s="69" t="n">
        <v>441</v>
      </c>
      <c r="G91" s="38" t="n">
        <v>576</v>
      </c>
      <c r="H91" s="32" t="n">
        <f aca="false">F94-G91</f>
        <v>-576</v>
      </c>
      <c r="I91" s="53" t="n">
        <f aca="false">H91/G91</f>
        <v>-1</v>
      </c>
    </row>
    <row r="92" customFormat="false" ht="25.5" hidden="false" customHeight="true" outlineLevel="0" collapsed="false">
      <c r="A92" s="37" t="n">
        <v>91</v>
      </c>
      <c r="B92" s="38" t="n">
        <v>117</v>
      </c>
      <c r="C92" s="30" t="n">
        <f aca="false">A92-B92</f>
        <v>-26</v>
      </c>
      <c r="D92" s="41" t="n">
        <f aca="false">C92/B92*1</f>
        <v>-0.222222222222222</v>
      </c>
      <c r="E92" s="66" t="s">
        <v>19</v>
      </c>
      <c r="F92" s="30" t="n">
        <v>1004</v>
      </c>
      <c r="G92" s="38" t="n">
        <v>1015</v>
      </c>
      <c r="H92" s="38" t="n">
        <f aca="false">F92-G92</f>
        <v>-11</v>
      </c>
      <c r="I92" s="39" t="n">
        <f aca="false">H92/G92*1</f>
        <v>-0.0108374384236453</v>
      </c>
    </row>
    <row r="93" customFormat="false" ht="25.5" hidden="false" customHeight="true" outlineLevel="0" collapsed="false">
      <c r="A93" s="45" t="n">
        <v>8</v>
      </c>
      <c r="B93" s="29" t="n">
        <v>21</v>
      </c>
      <c r="C93" s="45" t="n">
        <f aca="false">A93-B93</f>
        <v>-13</v>
      </c>
      <c r="D93" s="35" t="n">
        <f aca="false">C93/B93*1</f>
        <v>-0.619047619047619</v>
      </c>
      <c r="E93" s="70" t="s">
        <v>20</v>
      </c>
      <c r="F93" s="47" t="n">
        <v>53</v>
      </c>
      <c r="G93" s="29" t="n">
        <v>101</v>
      </c>
      <c r="H93" s="55" t="n">
        <f aca="false">F93-G93</f>
        <v>-48</v>
      </c>
      <c r="I93" s="56" t="n">
        <f aca="false">H93/G93</f>
        <v>-0.475247524752475</v>
      </c>
    </row>
    <row r="94" customFormat="false" ht="25.5" hidden="false" customHeight="true" outlineLevel="0" collapsed="false">
      <c r="E94" s="63"/>
      <c r="F94" s="30"/>
    </row>
    <row r="95" customFormat="false" ht="25.5" hidden="false" customHeight="true" outlineLevel="0" collapsed="false"/>
    <row r="96" customFormat="false" ht="25.5" hidden="false" customHeight="true" outlineLevel="0" collapsed="false"/>
    <row r="97" customFormat="false" ht="25.5" hidden="false" customHeight="true" outlineLevel="0" collapsed="false">
      <c r="A97" s="61"/>
      <c r="B97" s="2"/>
      <c r="C97" s="2"/>
      <c r="D97" s="2"/>
      <c r="E97" s="59" t="s">
        <v>25</v>
      </c>
      <c r="F97" s="2"/>
      <c r="G97" s="2"/>
      <c r="H97" s="2"/>
      <c r="I97" s="4"/>
    </row>
    <row r="98" customFormat="false" ht="25.5" hidden="false" customHeight="true" outlineLevel="0" collapsed="false">
      <c r="A98" s="5" t="s">
        <v>1</v>
      </c>
      <c r="G98" s="6" t="s">
        <v>2</v>
      </c>
      <c r="H98" s="7" t="s">
        <v>3</v>
      </c>
      <c r="I98" s="8"/>
    </row>
    <row r="99" customFormat="false" ht="25.5" hidden="false" customHeight="true" outlineLevel="0" collapsed="false">
      <c r="A99" s="9" t="str">
        <f aca="false">A3</f>
        <v>     Mes del 1 al 31 de octubre</v>
      </c>
      <c r="B99" s="10"/>
      <c r="C99" s="10"/>
      <c r="D99" s="11"/>
      <c r="E99" s="12" t="s">
        <v>2</v>
      </c>
      <c r="F99" s="13" t="str">
        <f aca="false">F3</f>
        <v>Acumulado al 31 de octubre</v>
      </c>
      <c r="G99" s="14"/>
      <c r="H99" s="14"/>
      <c r="I99" s="15"/>
    </row>
    <row r="100" customFormat="false" ht="25.5" hidden="false" customHeight="true" outlineLevel="0" collapsed="false">
      <c r="A100" s="16" t="s">
        <v>2</v>
      </c>
      <c r="B100" s="17" t="s">
        <v>2</v>
      </c>
      <c r="C100" s="18" t="s">
        <v>6</v>
      </c>
      <c r="D100" s="19"/>
      <c r="E100" s="17" t="s">
        <v>7</v>
      </c>
      <c r="F100" s="20" t="s">
        <v>2</v>
      </c>
      <c r="G100" s="17" t="s">
        <v>2</v>
      </c>
      <c r="H100" s="18" t="s">
        <v>6</v>
      </c>
      <c r="I100" s="21"/>
    </row>
    <row r="101" customFormat="false" ht="25.5" hidden="false" customHeight="true" outlineLevel="0" collapsed="false">
      <c r="A101" s="22" t="n">
        <v>2016</v>
      </c>
      <c r="B101" s="23" t="n">
        <v>2015</v>
      </c>
      <c r="C101" s="24" t="s">
        <v>8</v>
      </c>
      <c r="D101" s="25" t="s">
        <v>9</v>
      </c>
      <c r="E101" s="26"/>
      <c r="F101" s="22" t="n">
        <v>2016</v>
      </c>
      <c r="G101" s="23" t="n">
        <v>2015</v>
      </c>
      <c r="H101" s="28" t="s">
        <v>8</v>
      </c>
      <c r="I101" s="28" t="s">
        <v>9</v>
      </c>
    </row>
    <row r="102" customFormat="false" ht="25.5" hidden="false" customHeight="true" outlineLevel="0" collapsed="false">
      <c r="A102" s="29" t="n">
        <f aca="false">A103+A109</f>
        <v>324</v>
      </c>
      <c r="B102" s="29" t="n">
        <f aca="false">B103+B109</f>
        <v>383</v>
      </c>
      <c r="C102" s="30" t="n">
        <f aca="false">C103+C109</f>
        <v>-59</v>
      </c>
      <c r="D102" s="31" t="n">
        <f aca="false">C102/B102*1</f>
        <v>-0.154046997389034</v>
      </c>
      <c r="E102" s="26" t="s">
        <v>10</v>
      </c>
      <c r="F102" s="29" t="n">
        <f aca="false">F103+F109</f>
        <v>2998</v>
      </c>
      <c r="G102" s="29" t="n">
        <f aca="false">G103+G109</f>
        <v>3306</v>
      </c>
      <c r="H102" s="30" t="n">
        <f aca="false">H103+H109</f>
        <v>-308</v>
      </c>
      <c r="I102" s="33" t="n">
        <f aca="false">H102/G102*1</f>
        <v>-0.0931639443436177</v>
      </c>
    </row>
    <row r="103" customFormat="false" ht="25.5" hidden="false" customHeight="true" outlineLevel="0" collapsed="false">
      <c r="A103" s="29" t="n">
        <f aca="false">SUM(A104:A108)</f>
        <v>63</v>
      </c>
      <c r="B103" s="29" t="n">
        <f aca="false">SUM(B104:B108)</f>
        <v>79</v>
      </c>
      <c r="C103" s="34" t="n">
        <f aca="false">SUM(C104:C108)</f>
        <v>-16</v>
      </c>
      <c r="D103" s="35" t="n">
        <f aca="false">C103/B103*1</f>
        <v>-0.20253164556962</v>
      </c>
      <c r="E103" s="26" t="s">
        <v>11</v>
      </c>
      <c r="F103" s="29" t="n">
        <f aca="false">SUM(F104:F108)</f>
        <v>514</v>
      </c>
      <c r="G103" s="29" t="n">
        <f aca="false">SUM(G104:G108)</f>
        <v>657</v>
      </c>
      <c r="H103" s="36" t="n">
        <f aca="false">SUM(H104:H108)</f>
        <v>-143</v>
      </c>
      <c r="I103" s="33" t="n">
        <f aca="false">H103/G103*1</f>
        <v>-0.21765601217656</v>
      </c>
    </row>
    <row r="104" customFormat="false" ht="25.5" hidden="false" customHeight="true" outlineLevel="0" collapsed="false">
      <c r="A104" s="37" t="n">
        <v>10</v>
      </c>
      <c r="B104" s="38" t="n">
        <v>9</v>
      </c>
      <c r="C104" s="30" t="n">
        <f aca="false">A104-B104</f>
        <v>1</v>
      </c>
      <c r="D104" s="41" t="n">
        <f aca="false">C104/B104*1</f>
        <v>0.111111111111111</v>
      </c>
      <c r="E104" s="40" t="s">
        <v>12</v>
      </c>
      <c r="F104" s="30" t="n">
        <v>56</v>
      </c>
      <c r="G104" s="38" t="n">
        <v>68</v>
      </c>
      <c r="H104" s="32" t="n">
        <f aca="false">F104-G104</f>
        <v>-12</v>
      </c>
      <c r="I104" s="53" t="n">
        <f aca="false">H104/G104</f>
        <v>-0.176470588235294</v>
      </c>
    </row>
    <row r="105" customFormat="false" ht="25.5" hidden="false" customHeight="true" outlineLevel="0" collapsed="false">
      <c r="A105" s="37" t="n">
        <v>0</v>
      </c>
      <c r="B105" s="38" t="n">
        <v>3</v>
      </c>
      <c r="C105" s="30" t="n">
        <f aca="false">A105-B105</f>
        <v>-3</v>
      </c>
      <c r="D105" s="39" t="n">
        <v>0</v>
      </c>
      <c r="E105" s="40" t="s">
        <v>13</v>
      </c>
      <c r="F105" s="30" t="n">
        <v>10</v>
      </c>
      <c r="G105" s="38" t="n">
        <v>8</v>
      </c>
      <c r="H105" s="38" t="n">
        <f aca="false">F105-G105</f>
        <v>2</v>
      </c>
      <c r="I105" s="39" t="n">
        <f aca="false">H105/G105*1</f>
        <v>0.25</v>
      </c>
    </row>
    <row r="106" customFormat="false" ht="25.5" hidden="false" customHeight="true" outlineLevel="0" collapsed="false">
      <c r="A106" s="37" t="n">
        <v>0</v>
      </c>
      <c r="B106" s="38" t="n">
        <v>0</v>
      </c>
      <c r="C106" s="30" t="n">
        <f aca="false">A106-B106</f>
        <v>0</v>
      </c>
      <c r="D106" s="39" t="n">
        <v>0</v>
      </c>
      <c r="E106" s="40" t="s">
        <v>14</v>
      </c>
      <c r="F106" s="30" t="n">
        <v>0</v>
      </c>
      <c r="G106" s="38" t="n">
        <v>1</v>
      </c>
      <c r="H106" s="38" t="n">
        <f aca="false">F106-G106</f>
        <v>-1</v>
      </c>
      <c r="I106" s="39" t="n">
        <f aca="false">H106/G106*1</f>
        <v>-1</v>
      </c>
    </row>
    <row r="107" customFormat="false" ht="26.25" hidden="false" customHeight="true" outlineLevel="0" collapsed="false">
      <c r="A107" s="37" t="n">
        <v>28</v>
      </c>
      <c r="B107" s="38" t="n">
        <v>47</v>
      </c>
      <c r="C107" s="30" t="n">
        <f aca="false">A107-B107</f>
        <v>-19</v>
      </c>
      <c r="D107" s="41" t="n">
        <f aca="false">C107/B107*1</f>
        <v>-0.404255319148936</v>
      </c>
      <c r="E107" s="40" t="s">
        <v>15</v>
      </c>
      <c r="F107" s="30" t="n">
        <v>255</v>
      </c>
      <c r="G107" s="38" t="n">
        <v>364</v>
      </c>
      <c r="H107" s="38" t="n">
        <f aca="false">F107-G107</f>
        <v>-109</v>
      </c>
      <c r="I107" s="58" t="n">
        <f aca="false">H107/G107</f>
        <v>-0.299450549450549</v>
      </c>
    </row>
    <row r="108" customFormat="false" ht="25.5" hidden="false" customHeight="true" outlineLevel="0" collapsed="false">
      <c r="A108" s="37" t="n">
        <v>25</v>
      </c>
      <c r="B108" s="38" t="n">
        <v>20</v>
      </c>
      <c r="C108" s="30" t="n">
        <f aca="false">A108-B108</f>
        <v>5</v>
      </c>
      <c r="D108" s="35" t="n">
        <f aca="false">C108/B108*1</f>
        <v>0.25</v>
      </c>
      <c r="E108" s="40" t="s">
        <v>16</v>
      </c>
      <c r="F108" s="30" t="n">
        <v>193</v>
      </c>
      <c r="G108" s="38" t="n">
        <v>216</v>
      </c>
      <c r="H108" s="55" t="n">
        <f aca="false">F108-G108</f>
        <v>-23</v>
      </c>
      <c r="I108" s="56" t="n">
        <f aca="false">H108/G108</f>
        <v>-0.106481481481481</v>
      </c>
    </row>
    <row r="109" customFormat="false" ht="26.25" hidden="false" customHeight="true" outlineLevel="0" collapsed="false">
      <c r="A109" s="36" t="n">
        <f aca="false">SUM(A110:A112)</f>
        <v>261</v>
      </c>
      <c r="B109" s="36" t="n">
        <f aca="false">SUM(B110:B112)</f>
        <v>304</v>
      </c>
      <c r="C109" s="34" t="n">
        <f aca="false">SUM(C110:C113)</f>
        <v>-43</v>
      </c>
      <c r="D109" s="35" t="n">
        <f aca="false">C109/B109*1</f>
        <v>-0.141447368421053</v>
      </c>
      <c r="E109" s="27" t="s">
        <v>17</v>
      </c>
      <c r="F109" s="36" t="n">
        <f aca="false">SUM(F110:F112)</f>
        <v>2484</v>
      </c>
      <c r="G109" s="36" t="n">
        <f aca="false">SUM(G110:G112)</f>
        <v>2649</v>
      </c>
      <c r="H109" s="36" t="n">
        <f aca="false">SUM(H110:H113)</f>
        <v>-165</v>
      </c>
      <c r="I109" s="33" t="n">
        <f aca="false">H109/G109*1</f>
        <v>-0.0622876557191393</v>
      </c>
    </row>
    <row r="110" customFormat="false" ht="25.5" hidden="false" customHeight="true" outlineLevel="0" collapsed="false">
      <c r="A110" s="37" t="n">
        <v>65</v>
      </c>
      <c r="B110" s="38" t="n">
        <v>79</v>
      </c>
      <c r="C110" s="30" t="n">
        <f aca="false">A110-B110</f>
        <v>-14</v>
      </c>
      <c r="D110" s="41" t="n">
        <f aca="false">C110/B110*1</f>
        <v>-0.177215189873418</v>
      </c>
      <c r="E110" s="40" t="s">
        <v>18</v>
      </c>
      <c r="F110" s="30" t="n">
        <v>594</v>
      </c>
      <c r="G110" s="38" t="n">
        <v>684</v>
      </c>
      <c r="H110" s="32" t="n">
        <f aca="false">F110-G110</f>
        <v>-90</v>
      </c>
      <c r="I110" s="53" t="n">
        <f aca="false">H110/G110</f>
        <v>-0.131578947368421</v>
      </c>
    </row>
    <row r="111" customFormat="false" ht="25.5" hidden="false" customHeight="true" outlineLevel="0" collapsed="false">
      <c r="A111" s="37" t="n">
        <v>175</v>
      </c>
      <c r="B111" s="38" t="n">
        <v>183</v>
      </c>
      <c r="C111" s="30" t="n">
        <f aca="false">A111-B111</f>
        <v>-8</v>
      </c>
      <c r="D111" s="41" t="n">
        <f aca="false">C111/B111*1</f>
        <v>-0.0437158469945355</v>
      </c>
      <c r="E111" s="40" t="s">
        <v>19</v>
      </c>
      <c r="F111" s="30" t="n">
        <v>1636</v>
      </c>
      <c r="G111" s="38" t="n">
        <v>1685</v>
      </c>
      <c r="H111" s="38" t="n">
        <f aca="false">F111-G111</f>
        <v>-49</v>
      </c>
      <c r="I111" s="58" t="n">
        <f aca="false">H111/G111</f>
        <v>-0.029080118694362</v>
      </c>
    </row>
    <row r="112" customFormat="false" ht="25.5" hidden="false" customHeight="true" outlineLevel="0" collapsed="false">
      <c r="A112" s="45" t="n">
        <v>21</v>
      </c>
      <c r="B112" s="29" t="n">
        <v>42</v>
      </c>
      <c r="C112" s="45" t="n">
        <f aca="false">A112-B112</f>
        <v>-21</v>
      </c>
      <c r="D112" s="35" t="n">
        <f aca="false">C112/B112*1</f>
        <v>-0.5</v>
      </c>
      <c r="E112" s="46" t="s">
        <v>20</v>
      </c>
      <c r="F112" s="47" t="n">
        <v>254</v>
      </c>
      <c r="G112" s="29" t="n">
        <v>280</v>
      </c>
      <c r="H112" s="55" t="n">
        <f aca="false">F112-G112</f>
        <v>-26</v>
      </c>
      <c r="I112" s="56" t="n">
        <f aca="false">H112/G112</f>
        <v>-0.0928571428571429</v>
      </c>
    </row>
    <row r="113" customFormat="false" ht="25.5" hidden="false" customHeight="true" outlineLevel="0" collapsed="false"/>
    <row r="114" customFormat="false" ht="25.5" hidden="false" customHeight="true" outlineLevel="0" collapsed="false"/>
    <row r="115" customFormat="false" ht="25.5" hidden="false" customHeight="true" outlineLevel="0" collapsed="false"/>
    <row r="116" customFormat="false" ht="25.5" hidden="false" customHeight="true" outlineLevel="0" collapsed="false">
      <c r="A116" s="61"/>
      <c r="B116" s="2"/>
      <c r="C116" s="2"/>
      <c r="D116" s="2"/>
      <c r="E116" s="59" t="s">
        <v>26</v>
      </c>
      <c r="F116" s="2"/>
      <c r="G116" s="2"/>
      <c r="H116" s="2"/>
      <c r="I116" s="4"/>
    </row>
    <row r="117" customFormat="false" ht="25.5" hidden="false" customHeight="true" outlineLevel="0" collapsed="false">
      <c r="A117" s="5" t="s">
        <v>1</v>
      </c>
      <c r="G117" s="6" t="s">
        <v>2</v>
      </c>
      <c r="H117" s="7" t="s">
        <v>3</v>
      </c>
      <c r="I117" s="8"/>
    </row>
    <row r="118" customFormat="false" ht="25.5" hidden="false" customHeight="true" outlineLevel="0" collapsed="false">
      <c r="A118" s="9" t="str">
        <f aca="false">A3</f>
        <v>     Mes del 1 al 31 de octubre</v>
      </c>
      <c r="B118" s="10"/>
      <c r="C118" s="10"/>
      <c r="D118" s="11"/>
      <c r="E118" s="12" t="s">
        <v>2</v>
      </c>
      <c r="F118" s="13" t="str">
        <f aca="false">F3</f>
        <v>Acumulado al 31 de octubre</v>
      </c>
      <c r="G118" s="14"/>
      <c r="H118" s="14"/>
      <c r="I118" s="15"/>
    </row>
    <row r="119" customFormat="false" ht="25.5" hidden="false" customHeight="true" outlineLevel="0" collapsed="false">
      <c r="A119" s="16" t="s">
        <v>2</v>
      </c>
      <c r="B119" s="17" t="s">
        <v>2</v>
      </c>
      <c r="C119" s="18" t="s">
        <v>6</v>
      </c>
      <c r="D119" s="19"/>
      <c r="E119" s="17" t="s">
        <v>7</v>
      </c>
      <c r="F119" s="20" t="s">
        <v>2</v>
      </c>
      <c r="G119" s="17" t="s">
        <v>2</v>
      </c>
      <c r="H119" s="18" t="s">
        <v>6</v>
      </c>
      <c r="I119" s="21"/>
    </row>
    <row r="120" customFormat="false" ht="25.5" hidden="false" customHeight="true" outlineLevel="0" collapsed="false">
      <c r="A120" s="22" t="n">
        <v>2016</v>
      </c>
      <c r="B120" s="23" t="n">
        <v>2015</v>
      </c>
      <c r="C120" s="24" t="s">
        <v>8</v>
      </c>
      <c r="D120" s="25" t="s">
        <v>9</v>
      </c>
      <c r="E120" s="26"/>
      <c r="F120" s="22" t="n">
        <v>2016</v>
      </c>
      <c r="G120" s="23" t="n">
        <v>2015</v>
      </c>
      <c r="H120" s="28" t="s">
        <v>8</v>
      </c>
      <c r="I120" s="28" t="s">
        <v>9</v>
      </c>
    </row>
    <row r="121" customFormat="false" ht="25.5" hidden="false" customHeight="true" outlineLevel="0" collapsed="false">
      <c r="A121" s="29" t="n">
        <f aca="false">A122+A128</f>
        <v>816</v>
      </c>
      <c r="B121" s="29" t="n">
        <f aca="false">B122+B128</f>
        <v>903</v>
      </c>
      <c r="C121" s="30" t="n">
        <f aca="false">C122+C128</f>
        <v>-87</v>
      </c>
      <c r="D121" s="31" t="n">
        <f aca="false">C121/B121*1</f>
        <v>-0.0963455149501661</v>
      </c>
      <c r="E121" s="26" t="s">
        <v>10</v>
      </c>
      <c r="F121" s="29" t="n">
        <f aca="false">F122+F128</f>
        <v>8081</v>
      </c>
      <c r="G121" s="29" t="n">
        <f aca="false">G122+G128</f>
        <v>8975</v>
      </c>
      <c r="H121" s="30" t="n">
        <f aca="false">H122+H128</f>
        <v>-894</v>
      </c>
      <c r="I121" s="33" t="n">
        <f aca="false">H121/G121*1</f>
        <v>-0.0996100278551532</v>
      </c>
    </row>
    <row r="122" customFormat="false" ht="25.5" hidden="false" customHeight="true" outlineLevel="0" collapsed="false">
      <c r="A122" s="29" t="n">
        <f aca="false">SUM(A123:A127)</f>
        <v>119</v>
      </c>
      <c r="B122" s="29" t="n">
        <f aca="false">SUM(B123:B127)</f>
        <v>130</v>
      </c>
      <c r="C122" s="34" t="n">
        <f aca="false">SUM(C123:C127)</f>
        <v>-11</v>
      </c>
      <c r="D122" s="35" t="n">
        <f aca="false">C122/B122*1</f>
        <v>-0.0846153846153846</v>
      </c>
      <c r="E122" s="26" t="s">
        <v>11</v>
      </c>
      <c r="F122" s="29" t="n">
        <f aca="false">SUM(F123:F127)</f>
        <v>1115</v>
      </c>
      <c r="G122" s="29" t="n">
        <f aca="false">SUM(G123:G127)</f>
        <v>1224</v>
      </c>
      <c r="H122" s="36" t="n">
        <f aca="false">SUM(H123:H127)</f>
        <v>-109</v>
      </c>
      <c r="I122" s="33" t="n">
        <f aca="false">H122/G122*1</f>
        <v>-0.0890522875816994</v>
      </c>
    </row>
    <row r="123" customFormat="false" ht="25.5" hidden="false" customHeight="true" outlineLevel="0" collapsed="false">
      <c r="A123" s="37" t="n">
        <v>8</v>
      </c>
      <c r="B123" s="38" t="n">
        <v>5</v>
      </c>
      <c r="C123" s="30" t="n">
        <f aca="false">A123-B123</f>
        <v>3</v>
      </c>
      <c r="D123" s="41" t="n">
        <f aca="false">C123/B123*1</f>
        <v>0.6</v>
      </c>
      <c r="E123" s="40" t="s">
        <v>12</v>
      </c>
      <c r="F123" s="30" t="n">
        <v>82</v>
      </c>
      <c r="G123" s="38" t="n">
        <v>97</v>
      </c>
      <c r="H123" s="32" t="n">
        <f aca="false">F123-G123</f>
        <v>-15</v>
      </c>
      <c r="I123" s="53" t="n">
        <f aca="false">H123/G123</f>
        <v>-0.154639175257732</v>
      </c>
    </row>
    <row r="124" customFormat="false" ht="25.5" hidden="false" customHeight="true" outlineLevel="0" collapsed="false">
      <c r="A124" s="37" t="n">
        <v>3</v>
      </c>
      <c r="B124" s="38" t="n">
        <v>1</v>
      </c>
      <c r="C124" s="30" t="n">
        <f aca="false">A124-B124</f>
        <v>2</v>
      </c>
      <c r="D124" s="41" t="n">
        <f aca="false">C124/B124*1</f>
        <v>2</v>
      </c>
      <c r="E124" s="40" t="s">
        <v>13</v>
      </c>
      <c r="F124" s="30" t="n">
        <v>33</v>
      </c>
      <c r="G124" s="38" t="n">
        <v>38</v>
      </c>
      <c r="H124" s="38" t="n">
        <f aca="false">F124-G124</f>
        <v>-5</v>
      </c>
      <c r="I124" s="58" t="n">
        <f aca="false">H124/G124</f>
        <v>-0.131578947368421</v>
      </c>
    </row>
    <row r="125" customFormat="false" ht="23.25" hidden="false" customHeight="true" outlineLevel="0" collapsed="false">
      <c r="A125" s="37" t="n">
        <v>0</v>
      </c>
      <c r="B125" s="38" t="n">
        <v>0</v>
      </c>
      <c r="C125" s="30" t="n">
        <f aca="false">A125-B125</f>
        <v>0</v>
      </c>
      <c r="D125" s="39" t="n">
        <v>0</v>
      </c>
      <c r="E125" s="40" t="s">
        <v>14</v>
      </c>
      <c r="F125" s="30" t="n">
        <v>0</v>
      </c>
      <c r="G125" s="38" t="n">
        <v>0</v>
      </c>
      <c r="H125" s="38" t="n">
        <f aca="false">F125-G125</f>
        <v>0</v>
      </c>
      <c r="I125" s="68" t="n">
        <v>0</v>
      </c>
    </row>
    <row r="126" customFormat="false" ht="27" hidden="false" customHeight="true" outlineLevel="0" collapsed="false">
      <c r="A126" s="37" t="n">
        <v>60</v>
      </c>
      <c r="B126" s="71" t="n">
        <v>95</v>
      </c>
      <c r="C126" s="30" t="n">
        <f aca="false">A126-B126</f>
        <v>-35</v>
      </c>
      <c r="D126" s="41" t="n">
        <f aca="false">C126/B126*1</f>
        <v>-0.368421052631579</v>
      </c>
      <c r="E126" s="40" t="s">
        <v>15</v>
      </c>
      <c r="F126" s="30" t="n">
        <v>659</v>
      </c>
      <c r="G126" s="38" t="n">
        <v>839</v>
      </c>
      <c r="H126" s="38" t="n">
        <f aca="false">F126-G126</f>
        <v>-180</v>
      </c>
      <c r="I126" s="58" t="n">
        <f aca="false">H126/G126</f>
        <v>-0.214541120381406</v>
      </c>
    </row>
    <row r="127" customFormat="false" ht="25.5" hidden="false" customHeight="true" outlineLevel="0" collapsed="false">
      <c r="A127" s="37" t="n">
        <v>48</v>
      </c>
      <c r="B127" s="38" t="n">
        <v>29</v>
      </c>
      <c r="C127" s="30" t="n">
        <f aca="false">A127-B127</f>
        <v>19</v>
      </c>
      <c r="D127" s="41" t="n">
        <f aca="false">C127/B127*1</f>
        <v>0.655172413793103</v>
      </c>
      <c r="E127" s="46" t="s">
        <v>16</v>
      </c>
      <c r="F127" s="30" t="n">
        <v>341</v>
      </c>
      <c r="G127" s="38" t="n">
        <v>250</v>
      </c>
      <c r="H127" s="55" t="n">
        <f aca="false">F127-G127</f>
        <v>91</v>
      </c>
      <c r="I127" s="56" t="n">
        <f aca="false">H127/G127</f>
        <v>0.364</v>
      </c>
    </row>
    <row r="128" customFormat="false" ht="25.5" hidden="false" customHeight="true" outlineLevel="0" collapsed="false">
      <c r="A128" s="36" t="n">
        <f aca="false">SUM(A129:A131)</f>
        <v>697</v>
      </c>
      <c r="B128" s="36" t="n">
        <f aca="false">SUM(B129:B131)</f>
        <v>773</v>
      </c>
      <c r="C128" s="34" t="n">
        <f aca="false">SUM(C129:C132)</f>
        <v>-76</v>
      </c>
      <c r="D128" s="33" t="n">
        <f aca="false">C128/B128*1</f>
        <v>-0.0983182406209573</v>
      </c>
      <c r="E128" s="26" t="s">
        <v>17</v>
      </c>
      <c r="F128" s="36" t="n">
        <f aca="false">SUM(F129:F131)</f>
        <v>6966</v>
      </c>
      <c r="G128" s="36" t="n">
        <f aca="false">SUM(G129:G131)</f>
        <v>7751</v>
      </c>
      <c r="H128" s="36" t="n">
        <f aca="false">SUM(H129:H132)</f>
        <v>-785</v>
      </c>
      <c r="I128" s="33" t="n">
        <f aca="false">H128/G128*1</f>
        <v>-0.1012772545478</v>
      </c>
    </row>
    <row r="129" customFormat="false" ht="25.5" hidden="false" customHeight="true" outlineLevel="0" collapsed="false">
      <c r="A129" s="37" t="n">
        <v>164</v>
      </c>
      <c r="B129" s="38" t="n">
        <v>152</v>
      </c>
      <c r="C129" s="30" t="n">
        <f aca="false">A129-B129</f>
        <v>12</v>
      </c>
      <c r="D129" s="41" t="n">
        <f aca="false">C129/B129*1</f>
        <v>0.0789473684210526</v>
      </c>
      <c r="E129" s="40" t="s">
        <v>18</v>
      </c>
      <c r="F129" s="30" t="n">
        <v>1367</v>
      </c>
      <c r="G129" s="38" t="n">
        <v>1463</v>
      </c>
      <c r="H129" s="32" t="n">
        <f aca="false">F129-G129</f>
        <v>-96</v>
      </c>
      <c r="I129" s="53" t="n">
        <f aca="false">H129/G129</f>
        <v>-0.0656185919343814</v>
      </c>
    </row>
    <row r="130" customFormat="false" ht="25.5" hidden="false" customHeight="true" outlineLevel="0" collapsed="false">
      <c r="A130" s="37" t="n">
        <v>424</v>
      </c>
      <c r="B130" s="38" t="n">
        <v>529</v>
      </c>
      <c r="C130" s="30" t="n">
        <f aca="false">A130-B130</f>
        <v>-105</v>
      </c>
      <c r="D130" s="41" t="n">
        <f aca="false">C130/B130*1</f>
        <v>-0.198487712665406</v>
      </c>
      <c r="E130" s="40" t="s">
        <v>19</v>
      </c>
      <c r="F130" s="30" t="n">
        <v>4445</v>
      </c>
      <c r="G130" s="38" t="n">
        <v>5029</v>
      </c>
      <c r="H130" s="38" t="n">
        <f aca="false">F130-G130</f>
        <v>-584</v>
      </c>
      <c r="I130" s="58" t="n">
        <f aca="false">H130/G130</f>
        <v>-0.116126466494333</v>
      </c>
    </row>
    <row r="131" customFormat="false" ht="25.5" hidden="false" customHeight="true" outlineLevel="0" collapsed="false">
      <c r="A131" s="45" t="n">
        <v>109</v>
      </c>
      <c r="B131" s="29" t="n">
        <v>92</v>
      </c>
      <c r="C131" s="45" t="n">
        <f aca="false">A131-B131</f>
        <v>17</v>
      </c>
      <c r="D131" s="35" t="n">
        <f aca="false">C131/B131*1</f>
        <v>0.184782608695652</v>
      </c>
      <c r="E131" s="46" t="s">
        <v>20</v>
      </c>
      <c r="F131" s="47" t="n">
        <v>1154</v>
      </c>
      <c r="G131" s="29" t="n">
        <v>1259</v>
      </c>
      <c r="H131" s="55" t="n">
        <f aca="false">F131-G131</f>
        <v>-105</v>
      </c>
      <c r="I131" s="56" t="n">
        <f aca="false">H131/G131</f>
        <v>-0.0833995234312947</v>
      </c>
    </row>
    <row r="132" customFormat="false" ht="25.5" hidden="false" customHeight="true" outlineLevel="0" collapsed="false">
      <c r="E132" s="63"/>
      <c r="F132" s="72"/>
      <c r="G132" s="72"/>
      <c r="H132" s="72"/>
      <c r="I132" s="73"/>
    </row>
    <row r="133" customFormat="false" ht="25.5" hidden="false" customHeight="true" outlineLevel="0" collapsed="false">
      <c r="F133" s="74"/>
      <c r="G133" s="74"/>
      <c r="H133" s="74"/>
    </row>
    <row r="134" customFormat="false" ht="25.5" hidden="false" customHeight="true" outlineLevel="0" collapsed="false"/>
    <row r="135" customFormat="false" ht="25.5" hidden="false" customHeight="true" outlineLevel="0" collapsed="false">
      <c r="A135" s="61"/>
      <c r="B135" s="2"/>
      <c r="C135" s="2"/>
      <c r="D135" s="2"/>
      <c r="E135" s="59" t="s">
        <v>27</v>
      </c>
      <c r="F135" s="2"/>
      <c r="G135" s="2"/>
      <c r="H135" s="2"/>
      <c r="I135" s="4"/>
    </row>
    <row r="136" customFormat="false" ht="25.5" hidden="false" customHeight="true" outlineLevel="0" collapsed="false">
      <c r="A136" s="5" t="s">
        <v>1</v>
      </c>
      <c r="G136" s="6" t="s">
        <v>2</v>
      </c>
      <c r="H136" s="7" t="s">
        <v>3</v>
      </c>
      <c r="I136" s="8"/>
    </row>
    <row r="137" customFormat="false" ht="25.5" hidden="false" customHeight="true" outlineLevel="0" collapsed="false">
      <c r="A137" s="9" t="str">
        <f aca="false">A3</f>
        <v>     Mes del 1 al 31 de octubre</v>
      </c>
      <c r="B137" s="10"/>
      <c r="C137" s="10"/>
      <c r="D137" s="11"/>
      <c r="E137" s="12" t="s">
        <v>2</v>
      </c>
      <c r="F137" s="13" t="str">
        <f aca="false">F3</f>
        <v>Acumulado al 31 de octubre</v>
      </c>
      <c r="G137" s="14"/>
      <c r="H137" s="14"/>
      <c r="I137" s="15"/>
    </row>
    <row r="138" customFormat="false" ht="25.5" hidden="false" customHeight="true" outlineLevel="0" collapsed="false">
      <c r="A138" s="16" t="s">
        <v>2</v>
      </c>
      <c r="B138" s="17" t="s">
        <v>2</v>
      </c>
      <c r="C138" s="18" t="s">
        <v>6</v>
      </c>
      <c r="D138" s="19"/>
      <c r="E138" s="17" t="s">
        <v>7</v>
      </c>
      <c r="F138" s="20" t="s">
        <v>2</v>
      </c>
      <c r="G138" s="17" t="s">
        <v>2</v>
      </c>
      <c r="H138" s="18" t="s">
        <v>6</v>
      </c>
      <c r="I138" s="21"/>
    </row>
    <row r="139" customFormat="false" ht="25.5" hidden="false" customHeight="true" outlineLevel="0" collapsed="false">
      <c r="A139" s="22" t="n">
        <v>2016</v>
      </c>
      <c r="B139" s="23" t="n">
        <v>2015</v>
      </c>
      <c r="C139" s="24" t="s">
        <v>8</v>
      </c>
      <c r="D139" s="25" t="s">
        <v>9</v>
      </c>
      <c r="E139" s="26"/>
      <c r="F139" s="22" t="n">
        <v>2016</v>
      </c>
      <c r="G139" s="23" t="n">
        <v>2015</v>
      </c>
      <c r="H139" s="28" t="s">
        <v>8</v>
      </c>
      <c r="I139" s="28" t="s">
        <v>9</v>
      </c>
    </row>
    <row r="140" customFormat="false" ht="25.5" hidden="false" customHeight="true" outlineLevel="0" collapsed="false">
      <c r="A140" s="29" t="n">
        <f aca="false">A141+A147</f>
        <v>301</v>
      </c>
      <c r="B140" s="29" t="n">
        <f aca="false">B141+B147</f>
        <v>381</v>
      </c>
      <c r="C140" s="30" t="n">
        <f aca="false">C141+C147</f>
        <v>-80</v>
      </c>
      <c r="D140" s="31" t="n">
        <f aca="false">C140/B140*1</f>
        <v>-0.20997375328084</v>
      </c>
      <c r="E140" s="26" t="s">
        <v>10</v>
      </c>
      <c r="F140" s="29" t="n">
        <f aca="false">F141+F147</f>
        <v>3452</v>
      </c>
      <c r="G140" s="29" t="n">
        <f aca="false">G141+G147</f>
        <v>3731</v>
      </c>
      <c r="H140" s="30" t="n">
        <f aca="false">H141+H147</f>
        <v>-279</v>
      </c>
      <c r="I140" s="33" t="n">
        <f aca="false">H140/G140*1</f>
        <v>-0.0747788796569284</v>
      </c>
    </row>
    <row r="141" customFormat="false" ht="25.5" hidden="false" customHeight="true" outlineLevel="0" collapsed="false">
      <c r="A141" s="29" t="n">
        <f aca="false">SUM(A142:A146)</f>
        <v>74</v>
      </c>
      <c r="B141" s="29" t="n">
        <f aca="false">SUM(B142:B146)</f>
        <v>62</v>
      </c>
      <c r="C141" s="34" t="n">
        <f aca="false">SUM(C142:C146)</f>
        <v>12</v>
      </c>
      <c r="D141" s="35" t="n">
        <f aca="false">C141/B141*1</f>
        <v>0.193548387096774</v>
      </c>
      <c r="E141" s="26" t="s">
        <v>11</v>
      </c>
      <c r="F141" s="29" t="n">
        <f aca="false">SUM(F142:F146)</f>
        <v>594</v>
      </c>
      <c r="G141" s="29" t="n">
        <f aca="false">SUM(G142:G146)</f>
        <v>717</v>
      </c>
      <c r="H141" s="36" t="n">
        <f aca="false">SUM(H142:H146)</f>
        <v>-123</v>
      </c>
      <c r="I141" s="33" t="n">
        <f aca="false">H141/G141*1</f>
        <v>-0.171548117154812</v>
      </c>
    </row>
    <row r="142" customFormat="false" ht="25.5" hidden="false" customHeight="true" outlineLevel="0" collapsed="false">
      <c r="A142" s="37" t="n">
        <v>2</v>
      </c>
      <c r="B142" s="38" t="n">
        <v>8</v>
      </c>
      <c r="C142" s="30" t="n">
        <f aca="false">A142-B142</f>
        <v>-6</v>
      </c>
      <c r="D142" s="41" t="n">
        <f aca="false">C142/B142*1</f>
        <v>-0.75</v>
      </c>
      <c r="E142" s="40" t="s">
        <v>12</v>
      </c>
      <c r="F142" s="30" t="n">
        <v>70</v>
      </c>
      <c r="G142" s="38" t="n">
        <v>60</v>
      </c>
      <c r="H142" s="32" t="n">
        <f aca="false">F142-G142</f>
        <v>10</v>
      </c>
      <c r="I142" s="53" t="n">
        <f aca="false">H142/G142</f>
        <v>0.166666666666667</v>
      </c>
    </row>
    <row r="143" customFormat="false" ht="26.25" hidden="false" customHeight="true" outlineLevel="0" collapsed="false">
      <c r="A143" s="37" t="n">
        <v>2</v>
      </c>
      <c r="B143" s="38" t="n">
        <v>1</v>
      </c>
      <c r="C143" s="30" t="n">
        <f aca="false">A143-B143</f>
        <v>1</v>
      </c>
      <c r="D143" s="41" t="n">
        <v>0</v>
      </c>
      <c r="E143" s="40" t="s">
        <v>13</v>
      </c>
      <c r="F143" s="30" t="n">
        <v>10</v>
      </c>
      <c r="G143" s="38" t="n">
        <v>9</v>
      </c>
      <c r="H143" s="38" t="n">
        <f aca="false">F143-G143</f>
        <v>1</v>
      </c>
      <c r="I143" s="39" t="n">
        <f aca="false">H143/G143*1</f>
        <v>0.111111111111111</v>
      </c>
    </row>
    <row r="144" customFormat="false" ht="26.25" hidden="false" customHeight="true" outlineLevel="0" collapsed="false">
      <c r="A144" s="37" t="n">
        <v>0</v>
      </c>
      <c r="B144" s="38" t="n">
        <v>0</v>
      </c>
      <c r="C144" s="30" t="n">
        <f aca="false">A144-B144</f>
        <v>0</v>
      </c>
      <c r="D144" s="67" t="n">
        <v>0</v>
      </c>
      <c r="E144" s="40" t="s">
        <v>14</v>
      </c>
      <c r="F144" s="30" t="n">
        <v>0</v>
      </c>
      <c r="G144" s="38" t="n">
        <v>0</v>
      </c>
      <c r="H144" s="38" t="n">
        <f aca="false">F144-G144</f>
        <v>0</v>
      </c>
      <c r="I144" s="68" t="n">
        <v>0</v>
      </c>
    </row>
    <row r="145" customFormat="false" ht="26.25" hidden="false" customHeight="true" outlineLevel="0" collapsed="false">
      <c r="A145" s="37" t="n">
        <v>42</v>
      </c>
      <c r="B145" s="38" t="n">
        <v>36</v>
      </c>
      <c r="C145" s="30" t="n">
        <f aca="false">A145-B145</f>
        <v>6</v>
      </c>
      <c r="D145" s="41" t="n">
        <f aca="false">C145/B145*1</f>
        <v>0.166666666666667</v>
      </c>
      <c r="E145" s="40" t="s">
        <v>15</v>
      </c>
      <c r="F145" s="30" t="n">
        <v>259</v>
      </c>
      <c r="G145" s="38" t="n">
        <v>399</v>
      </c>
      <c r="H145" s="38" t="n">
        <f aca="false">F145-G145</f>
        <v>-140</v>
      </c>
      <c r="I145" s="39" t="n">
        <f aca="false">H145/G145*1</f>
        <v>-0.350877192982456</v>
      </c>
    </row>
    <row r="146" customFormat="false" ht="25.5" hidden="false" customHeight="true" outlineLevel="0" collapsed="false">
      <c r="A146" s="37" t="n">
        <v>28</v>
      </c>
      <c r="B146" s="38" t="n">
        <v>17</v>
      </c>
      <c r="C146" s="30" t="n">
        <f aca="false">A146-B146</f>
        <v>11</v>
      </c>
      <c r="D146" s="35" t="n">
        <f aca="false">C146/B146*1</f>
        <v>0.647058823529412</v>
      </c>
      <c r="E146" s="40" t="s">
        <v>16</v>
      </c>
      <c r="F146" s="30" t="n">
        <v>255</v>
      </c>
      <c r="G146" s="38" t="n">
        <v>249</v>
      </c>
      <c r="H146" s="55" t="n">
        <f aca="false">F146-G146</f>
        <v>6</v>
      </c>
      <c r="I146" s="56" t="n">
        <f aca="false">H146/G146</f>
        <v>0.0240963855421687</v>
      </c>
    </row>
    <row r="147" customFormat="false" ht="25.5" hidden="false" customHeight="true" outlineLevel="0" collapsed="false">
      <c r="A147" s="36" t="n">
        <f aca="false">SUM(A148:A150)</f>
        <v>227</v>
      </c>
      <c r="B147" s="36" t="n">
        <f aca="false">SUM(B148:B150)</f>
        <v>319</v>
      </c>
      <c r="C147" s="34" t="n">
        <f aca="false">SUM(C148:C151)</f>
        <v>-92</v>
      </c>
      <c r="D147" s="35" t="n">
        <f aca="false">C147/B147*1</f>
        <v>-0.288401253918495</v>
      </c>
      <c r="E147" s="27" t="s">
        <v>17</v>
      </c>
      <c r="F147" s="36" t="n">
        <f aca="false">SUM(F148:F150)</f>
        <v>2858</v>
      </c>
      <c r="G147" s="36" t="n">
        <f aca="false">SUM(G148:G150)</f>
        <v>3014</v>
      </c>
      <c r="H147" s="36" t="n">
        <f aca="false">SUM(H148:H151)</f>
        <v>-156</v>
      </c>
      <c r="I147" s="33" t="n">
        <f aca="false">H147/G147*1</f>
        <v>-0.0517584605175846</v>
      </c>
    </row>
    <row r="148" customFormat="false" ht="25.5" hidden="false" customHeight="true" outlineLevel="0" collapsed="false">
      <c r="A148" s="37" t="n">
        <v>51</v>
      </c>
      <c r="B148" s="38" t="n">
        <v>63</v>
      </c>
      <c r="C148" s="30" t="n">
        <f aca="false">A148-B148</f>
        <v>-12</v>
      </c>
      <c r="D148" s="41" t="n">
        <f aca="false">C148/B148*1</f>
        <v>-0.19047619047619</v>
      </c>
      <c r="E148" s="40" t="s">
        <v>18</v>
      </c>
      <c r="F148" s="30" t="n">
        <v>640</v>
      </c>
      <c r="G148" s="38" t="n">
        <v>716</v>
      </c>
      <c r="H148" s="32" t="n">
        <f aca="false">F148-G148</f>
        <v>-76</v>
      </c>
      <c r="I148" s="53" t="n">
        <f aca="false">H148/G148</f>
        <v>-0.106145251396648</v>
      </c>
    </row>
    <row r="149" customFormat="false" ht="25.5" hidden="false" customHeight="true" outlineLevel="0" collapsed="false">
      <c r="A149" s="37" t="n">
        <v>156</v>
      </c>
      <c r="B149" s="38" t="n">
        <v>245</v>
      </c>
      <c r="C149" s="37" t="n">
        <f aca="false">A149-B149</f>
        <v>-89</v>
      </c>
      <c r="D149" s="39" t="n">
        <f aca="false">C149/B149*1</f>
        <v>-0.363265306122449</v>
      </c>
      <c r="E149" s="40" t="s">
        <v>19</v>
      </c>
      <c r="F149" s="30" t="n">
        <v>1976</v>
      </c>
      <c r="G149" s="38" t="n">
        <v>2081</v>
      </c>
      <c r="H149" s="38" t="n">
        <f aca="false">F149-G149</f>
        <v>-105</v>
      </c>
      <c r="I149" s="58" t="n">
        <f aca="false">H149/G149</f>
        <v>-0.0504565112926478</v>
      </c>
    </row>
    <row r="150" customFormat="false" ht="25.5" hidden="false" customHeight="true" outlineLevel="0" collapsed="false">
      <c r="A150" s="45" t="n">
        <v>20</v>
      </c>
      <c r="B150" s="29" t="n">
        <v>11</v>
      </c>
      <c r="C150" s="45" t="n">
        <f aca="false">A150-B150</f>
        <v>9</v>
      </c>
      <c r="D150" s="35" t="n">
        <f aca="false">C150/B150*1</f>
        <v>0.818181818181818</v>
      </c>
      <c r="E150" s="46" t="s">
        <v>20</v>
      </c>
      <c r="F150" s="47" t="n">
        <v>242</v>
      </c>
      <c r="G150" s="29" t="n">
        <v>217</v>
      </c>
      <c r="H150" s="55" t="n">
        <f aca="false">F150-G150</f>
        <v>25</v>
      </c>
      <c r="I150" s="56" t="n">
        <f aca="false">H150/G150</f>
        <v>0.115207373271889</v>
      </c>
    </row>
    <row r="151" customFormat="false" ht="25.5" hidden="false" customHeight="true" outlineLevel="0" collapsed="false">
      <c r="B151" s="60"/>
    </row>
    <row r="152" customFormat="false" ht="25.5" hidden="false" customHeight="true" outlineLevel="0" collapsed="false"/>
    <row r="153" customFormat="false" ht="25.5" hidden="false" customHeight="true" outlineLevel="0" collapsed="false"/>
    <row r="154" customFormat="false" ht="25.5" hidden="false" customHeight="true" outlineLevel="0" collapsed="false">
      <c r="A154" s="61"/>
      <c r="B154" s="2"/>
      <c r="C154" s="2"/>
      <c r="D154" s="2"/>
      <c r="E154" s="59" t="s">
        <v>28</v>
      </c>
      <c r="F154" s="2"/>
      <c r="G154" s="2"/>
      <c r="H154" s="2"/>
      <c r="I154" s="4"/>
    </row>
    <row r="155" customFormat="false" ht="25.5" hidden="false" customHeight="true" outlineLevel="0" collapsed="false">
      <c r="A155" s="5" t="s">
        <v>1</v>
      </c>
      <c r="G155" s="6" t="s">
        <v>2</v>
      </c>
      <c r="H155" s="7" t="s">
        <v>3</v>
      </c>
      <c r="I155" s="8"/>
    </row>
    <row r="156" customFormat="false" ht="25.5" hidden="false" customHeight="true" outlineLevel="0" collapsed="false">
      <c r="A156" s="9" t="str">
        <f aca="false">A3</f>
        <v>     Mes del 1 al 31 de octubre</v>
      </c>
      <c r="B156" s="10"/>
      <c r="C156" s="10"/>
      <c r="D156" s="11"/>
      <c r="E156" s="12" t="s">
        <v>2</v>
      </c>
      <c r="F156" s="13" t="str">
        <f aca="false">F3</f>
        <v>Acumulado al 31 de octubre</v>
      </c>
      <c r="G156" s="14"/>
      <c r="H156" s="14"/>
      <c r="I156" s="15"/>
    </row>
    <row r="157" customFormat="false" ht="25.5" hidden="false" customHeight="true" outlineLevel="0" collapsed="false">
      <c r="A157" s="16" t="s">
        <v>2</v>
      </c>
      <c r="B157" s="17" t="s">
        <v>2</v>
      </c>
      <c r="C157" s="18" t="s">
        <v>6</v>
      </c>
      <c r="D157" s="19"/>
      <c r="E157" s="17" t="s">
        <v>7</v>
      </c>
      <c r="F157" s="20" t="s">
        <v>2</v>
      </c>
      <c r="G157" s="17" t="s">
        <v>2</v>
      </c>
      <c r="H157" s="18" t="s">
        <v>6</v>
      </c>
      <c r="I157" s="21"/>
    </row>
    <row r="158" customFormat="false" ht="25.5" hidden="false" customHeight="true" outlineLevel="0" collapsed="false">
      <c r="A158" s="22" t="n">
        <v>2016</v>
      </c>
      <c r="B158" s="23" t="n">
        <v>2015</v>
      </c>
      <c r="C158" s="24" t="s">
        <v>8</v>
      </c>
      <c r="D158" s="25" t="s">
        <v>9</v>
      </c>
      <c r="E158" s="26"/>
      <c r="F158" s="22" t="n">
        <v>2016</v>
      </c>
      <c r="G158" s="23" t="n">
        <v>2015</v>
      </c>
      <c r="H158" s="28" t="s">
        <v>8</v>
      </c>
      <c r="I158" s="28" t="s">
        <v>9</v>
      </c>
    </row>
    <row r="159" customFormat="false" ht="25.5" hidden="false" customHeight="true" outlineLevel="0" collapsed="false">
      <c r="A159" s="29" t="n">
        <f aca="false">A160+A166</f>
        <v>104</v>
      </c>
      <c r="B159" s="29" t="n">
        <f aca="false">B160+B166</f>
        <v>132</v>
      </c>
      <c r="C159" s="30" t="n">
        <f aca="false">C160+C166</f>
        <v>-28</v>
      </c>
      <c r="D159" s="31" t="n">
        <f aca="false">C159/B159*1</f>
        <v>-0.212121212121212</v>
      </c>
      <c r="E159" s="26" t="s">
        <v>10</v>
      </c>
      <c r="F159" s="29" t="n">
        <f aca="false">F160+F166</f>
        <v>1407</v>
      </c>
      <c r="G159" s="29" t="n">
        <f aca="false">G160+G166</f>
        <v>1423</v>
      </c>
      <c r="H159" s="30" t="n">
        <f aca="false">H160+H166</f>
        <v>-16</v>
      </c>
      <c r="I159" s="33" t="n">
        <f aca="false">H159/G159*1</f>
        <v>-0.011243851018974</v>
      </c>
    </row>
    <row r="160" customFormat="false" ht="25.5" hidden="false" customHeight="true" outlineLevel="0" collapsed="false">
      <c r="A160" s="29" t="n">
        <f aca="false">SUM(A161:A165)</f>
        <v>29</v>
      </c>
      <c r="B160" s="29" t="n">
        <f aca="false">SUM(B161:B165)</f>
        <v>37</v>
      </c>
      <c r="C160" s="34" t="n">
        <f aca="false">SUM(C161:C165)</f>
        <v>-8</v>
      </c>
      <c r="D160" s="35" t="n">
        <f aca="false">C160/B160*1</f>
        <v>-0.216216216216216</v>
      </c>
      <c r="E160" s="26" t="s">
        <v>11</v>
      </c>
      <c r="F160" s="29" t="n">
        <f aca="false">SUM(F161:F165)</f>
        <v>294</v>
      </c>
      <c r="G160" s="29" t="n">
        <f aca="false">SUM(G161:G165)</f>
        <v>328</v>
      </c>
      <c r="H160" s="36" t="n">
        <f aca="false">SUM(H161:H165)</f>
        <v>-34</v>
      </c>
      <c r="I160" s="33" t="n">
        <f aca="false">H160/G160*1</f>
        <v>-0.103658536585366</v>
      </c>
    </row>
    <row r="161" customFormat="false" ht="25.5" hidden="false" customHeight="true" outlineLevel="0" collapsed="false">
      <c r="A161" s="37" t="n">
        <v>1</v>
      </c>
      <c r="B161" s="38" t="n">
        <v>2</v>
      </c>
      <c r="C161" s="30" t="n">
        <f aca="false">A161-B161</f>
        <v>-1</v>
      </c>
      <c r="D161" s="39" t="n">
        <f aca="false">C161/B161*1</f>
        <v>-0.5</v>
      </c>
      <c r="E161" s="40" t="s">
        <v>12</v>
      </c>
      <c r="F161" s="30" t="n">
        <v>23</v>
      </c>
      <c r="G161" s="38" t="n">
        <v>22</v>
      </c>
      <c r="H161" s="32" t="n">
        <f aca="false">F161-G161</f>
        <v>1</v>
      </c>
      <c r="I161" s="53" t="n">
        <f aca="false">H161/G161</f>
        <v>0.0454545454545455</v>
      </c>
    </row>
    <row r="162" customFormat="false" ht="27" hidden="false" customHeight="true" outlineLevel="0" collapsed="false">
      <c r="A162" s="37" t="n">
        <v>0</v>
      </c>
      <c r="B162" s="38" t="n">
        <v>0</v>
      </c>
      <c r="C162" s="30" t="n">
        <f aca="false">A162-B162</f>
        <v>0</v>
      </c>
      <c r="D162" s="39" t="e">
        <f aca="false">C162/B162*1</f>
        <v>#DIV/0!</v>
      </c>
      <c r="E162" s="40" t="s">
        <v>13</v>
      </c>
      <c r="F162" s="30" t="n">
        <v>6</v>
      </c>
      <c r="G162" s="38" t="n">
        <v>4</v>
      </c>
      <c r="H162" s="38" t="n">
        <f aca="false">F162-G162</f>
        <v>2</v>
      </c>
      <c r="I162" s="39" t="n">
        <f aca="false">H162/G162*1</f>
        <v>0.5</v>
      </c>
    </row>
    <row r="163" customFormat="false" ht="26.25" hidden="false" customHeight="true" outlineLevel="0" collapsed="false">
      <c r="A163" s="37" t="n">
        <v>0</v>
      </c>
      <c r="B163" s="38" t="n">
        <v>0</v>
      </c>
      <c r="C163" s="30" t="n">
        <f aca="false">A163-B163</f>
        <v>0</v>
      </c>
      <c r="D163" s="67" t="n">
        <v>0</v>
      </c>
      <c r="E163" s="40" t="s">
        <v>14</v>
      </c>
      <c r="F163" s="30" t="n">
        <v>0</v>
      </c>
      <c r="G163" s="38" t="n">
        <v>0</v>
      </c>
      <c r="H163" s="38" t="n">
        <f aca="false">F163-G163</f>
        <v>0</v>
      </c>
      <c r="I163" s="68" t="n">
        <v>0</v>
      </c>
    </row>
    <row r="164" customFormat="false" ht="25.5" hidden="false" customHeight="true" outlineLevel="0" collapsed="false">
      <c r="A164" s="37" t="n">
        <v>5</v>
      </c>
      <c r="B164" s="38" t="n">
        <v>9</v>
      </c>
      <c r="C164" s="30" t="n">
        <f aca="false">A164-B164</f>
        <v>-4</v>
      </c>
      <c r="D164" s="39" t="n">
        <f aca="false">C164/B164*1</f>
        <v>-0.444444444444444</v>
      </c>
      <c r="E164" s="40" t="s">
        <v>15</v>
      </c>
      <c r="F164" s="30" t="n">
        <v>73</v>
      </c>
      <c r="G164" s="38" t="n">
        <v>96</v>
      </c>
      <c r="H164" s="38" t="n">
        <f aca="false">F164-G164</f>
        <v>-23</v>
      </c>
      <c r="I164" s="58" t="n">
        <f aca="false">H164/G164</f>
        <v>-0.239583333333333</v>
      </c>
    </row>
    <row r="165" customFormat="false" ht="25.5" hidden="false" customHeight="true" outlineLevel="0" collapsed="false">
      <c r="A165" s="37" t="n">
        <v>23</v>
      </c>
      <c r="B165" s="38" t="n">
        <v>26</v>
      </c>
      <c r="C165" s="30" t="n">
        <f aca="false">A165-B165</f>
        <v>-3</v>
      </c>
      <c r="D165" s="35" t="n">
        <f aca="false">C165/B165*1</f>
        <v>-0.115384615384615</v>
      </c>
      <c r="E165" s="40" t="s">
        <v>16</v>
      </c>
      <c r="F165" s="30" t="n">
        <v>192</v>
      </c>
      <c r="G165" s="38" t="n">
        <v>206</v>
      </c>
      <c r="H165" s="55" t="n">
        <f aca="false">F165-G165</f>
        <v>-14</v>
      </c>
      <c r="I165" s="56" t="n">
        <f aca="false">H165/G165</f>
        <v>-0.0679611650485437</v>
      </c>
    </row>
    <row r="166" customFormat="false" ht="25.5" hidden="false" customHeight="true" outlineLevel="0" collapsed="false">
      <c r="A166" s="36" t="n">
        <f aca="false">SUM(A167:A169)</f>
        <v>75</v>
      </c>
      <c r="B166" s="36" t="n">
        <f aca="false">SUM(B167:B169)</f>
        <v>95</v>
      </c>
      <c r="C166" s="34" t="n">
        <f aca="false">SUM(C167:C170)</f>
        <v>-20</v>
      </c>
      <c r="D166" s="35" t="n">
        <f aca="false">C166/B166*1</f>
        <v>-0.210526315789474</v>
      </c>
      <c r="E166" s="27" t="s">
        <v>17</v>
      </c>
      <c r="F166" s="36" t="n">
        <f aca="false">SUM(F167:F169)</f>
        <v>1113</v>
      </c>
      <c r="G166" s="36" t="n">
        <f aca="false">SUM(G167:G169)</f>
        <v>1095</v>
      </c>
      <c r="H166" s="36" t="n">
        <f aca="false">SUM(H167:H170)</f>
        <v>18</v>
      </c>
      <c r="I166" s="33" t="n">
        <f aca="false">H166/G166*1</f>
        <v>0.0164383561643836</v>
      </c>
    </row>
    <row r="167" customFormat="false" ht="25.5" hidden="false" customHeight="true" outlineLevel="0" collapsed="false">
      <c r="A167" s="37" t="n">
        <v>18</v>
      </c>
      <c r="B167" s="38" t="n">
        <v>24</v>
      </c>
      <c r="C167" s="30" t="n">
        <f aca="false">A167-B167</f>
        <v>-6</v>
      </c>
      <c r="D167" s="39" t="n">
        <f aca="false">C167/B167*1</f>
        <v>-0.25</v>
      </c>
      <c r="E167" s="40" t="s">
        <v>18</v>
      </c>
      <c r="F167" s="30" t="n">
        <v>297</v>
      </c>
      <c r="G167" s="38" t="n">
        <v>246</v>
      </c>
      <c r="H167" s="32" t="n">
        <f aca="false">F167-G167</f>
        <v>51</v>
      </c>
      <c r="I167" s="53" t="n">
        <f aca="false">H167/G167</f>
        <v>0.207317073170732</v>
      </c>
    </row>
    <row r="168" customFormat="false" ht="25.5" hidden="false" customHeight="true" outlineLevel="0" collapsed="false">
      <c r="A168" s="37" t="n">
        <v>53</v>
      </c>
      <c r="B168" s="38" t="n">
        <v>64</v>
      </c>
      <c r="C168" s="37" t="n">
        <f aca="false">A168-B168</f>
        <v>-11</v>
      </c>
      <c r="D168" s="39" t="n">
        <f aca="false">C168/B168*1</f>
        <v>-0.171875</v>
      </c>
      <c r="E168" s="40" t="s">
        <v>19</v>
      </c>
      <c r="F168" s="30" t="n">
        <v>760</v>
      </c>
      <c r="G168" s="38" t="n">
        <v>766</v>
      </c>
      <c r="H168" s="38" t="n">
        <f aca="false">F168-G168</f>
        <v>-6</v>
      </c>
      <c r="I168" s="58" t="n">
        <f aca="false">H168/G168</f>
        <v>-0.00783289817232376</v>
      </c>
    </row>
    <row r="169" customFormat="false" ht="25.5" hidden="false" customHeight="true" outlineLevel="0" collapsed="false">
      <c r="A169" s="45" t="n">
        <v>4</v>
      </c>
      <c r="B169" s="29" t="n">
        <v>7</v>
      </c>
      <c r="C169" s="45" t="n">
        <f aca="false">A169-B169</f>
        <v>-3</v>
      </c>
      <c r="D169" s="35" t="n">
        <f aca="false">C169/B169*1</f>
        <v>-0.428571428571429</v>
      </c>
      <c r="E169" s="46" t="s">
        <v>20</v>
      </c>
      <c r="F169" s="47" t="n">
        <v>56</v>
      </c>
      <c r="G169" s="29" t="n">
        <v>83</v>
      </c>
      <c r="H169" s="55" t="n">
        <f aca="false">F169-G169</f>
        <v>-27</v>
      </c>
      <c r="I169" s="75" t="n">
        <f aca="false">H169/G169</f>
        <v>-0.325301204819277</v>
      </c>
    </row>
    <row r="170" customFormat="false" ht="25.5" hidden="false" customHeight="true" outlineLevel="0" collapsed="false">
      <c r="E170" s="63"/>
    </row>
    <row r="171" customFormat="false" ht="25.5" hidden="false" customHeight="true" outlineLevel="0" collapsed="false"/>
    <row r="172" customFormat="false" ht="25.5" hidden="false" customHeight="true" outlineLevel="0" collapsed="false"/>
    <row r="173" customFormat="false" ht="25.5" hidden="false" customHeight="true" outlineLevel="0" collapsed="false">
      <c r="A173" s="61"/>
      <c r="B173" s="2"/>
      <c r="C173" s="2"/>
      <c r="D173" s="2"/>
      <c r="E173" s="59" t="s">
        <v>29</v>
      </c>
      <c r="F173" s="2"/>
      <c r="G173" s="2"/>
      <c r="H173" s="2"/>
      <c r="I173" s="4"/>
    </row>
    <row r="174" customFormat="false" ht="25.5" hidden="false" customHeight="true" outlineLevel="0" collapsed="false">
      <c r="A174" s="5" t="s">
        <v>1</v>
      </c>
      <c r="G174" s="6" t="s">
        <v>2</v>
      </c>
      <c r="H174" s="7" t="s">
        <v>3</v>
      </c>
      <c r="I174" s="8"/>
    </row>
    <row r="175" customFormat="false" ht="25.5" hidden="false" customHeight="true" outlineLevel="0" collapsed="false">
      <c r="A175" s="9" t="str">
        <f aca="false">A3</f>
        <v>     Mes del 1 al 31 de octubre</v>
      </c>
      <c r="B175" s="10"/>
      <c r="C175" s="10"/>
      <c r="D175" s="11"/>
      <c r="E175" s="12" t="s">
        <v>2</v>
      </c>
      <c r="F175" s="13" t="str">
        <f aca="false">F3</f>
        <v>Acumulado al 31 de octubre</v>
      </c>
      <c r="G175" s="14"/>
      <c r="H175" s="14"/>
      <c r="I175" s="15"/>
    </row>
    <row r="176" customFormat="false" ht="25.5" hidden="false" customHeight="true" outlineLevel="0" collapsed="false">
      <c r="A176" s="16" t="s">
        <v>2</v>
      </c>
      <c r="B176" s="17" t="s">
        <v>2</v>
      </c>
      <c r="C176" s="18" t="s">
        <v>6</v>
      </c>
      <c r="D176" s="19"/>
      <c r="E176" s="17" t="s">
        <v>7</v>
      </c>
      <c r="F176" s="20" t="s">
        <v>2</v>
      </c>
      <c r="G176" s="17" t="s">
        <v>2</v>
      </c>
      <c r="H176" s="18" t="s">
        <v>6</v>
      </c>
      <c r="I176" s="21"/>
    </row>
    <row r="177" customFormat="false" ht="25.5" hidden="false" customHeight="true" outlineLevel="0" collapsed="false">
      <c r="A177" s="22" t="n">
        <v>2016</v>
      </c>
      <c r="B177" s="23" t="n">
        <v>2015</v>
      </c>
      <c r="C177" s="24" t="s">
        <v>8</v>
      </c>
      <c r="D177" s="25" t="s">
        <v>9</v>
      </c>
      <c r="E177" s="26"/>
      <c r="F177" s="22" t="n">
        <v>2016</v>
      </c>
      <c r="G177" s="23" t="n">
        <v>2015</v>
      </c>
      <c r="H177" s="28" t="s">
        <v>8</v>
      </c>
      <c r="I177" s="28" t="s">
        <v>9</v>
      </c>
    </row>
    <row r="178" customFormat="false" ht="25.5" hidden="false" customHeight="true" outlineLevel="0" collapsed="false">
      <c r="A178" s="29" t="n">
        <f aca="false">A179+A185</f>
        <v>148</v>
      </c>
      <c r="B178" s="29" t="n">
        <f aca="false">B179+B185</f>
        <v>176</v>
      </c>
      <c r="C178" s="30" t="n">
        <f aca="false">C179+C185</f>
        <v>-28</v>
      </c>
      <c r="D178" s="31" t="n">
        <f aca="false">C178/B178*1</f>
        <v>-0.159090909090909</v>
      </c>
      <c r="E178" s="26" t="s">
        <v>10</v>
      </c>
      <c r="F178" s="29" t="n">
        <f aca="false">F179+F185</f>
        <v>1521</v>
      </c>
      <c r="G178" s="29" t="n">
        <f aca="false">G179+G185</f>
        <v>1671</v>
      </c>
      <c r="H178" s="30" t="n">
        <f aca="false">H179+H185</f>
        <v>-150</v>
      </c>
      <c r="I178" s="33" t="n">
        <f aca="false">H178/G178*1</f>
        <v>-0.0897666068222621</v>
      </c>
    </row>
    <row r="179" customFormat="false" ht="26.25" hidden="false" customHeight="true" outlineLevel="0" collapsed="false">
      <c r="A179" s="29" t="n">
        <f aca="false">SUM(A180:A184)</f>
        <v>34</v>
      </c>
      <c r="B179" s="29" t="n">
        <f aca="false">SUM(B180:B184)</f>
        <v>21</v>
      </c>
      <c r="C179" s="34" t="n">
        <f aca="false">SUM(C180:C184)</f>
        <v>13</v>
      </c>
      <c r="D179" s="35" t="n">
        <f aca="false">C179/B179*1</f>
        <v>0.619047619047619</v>
      </c>
      <c r="E179" s="26" t="s">
        <v>11</v>
      </c>
      <c r="F179" s="29" t="n">
        <f aca="false">SUM(F180:F184)</f>
        <v>230</v>
      </c>
      <c r="G179" s="29" t="n">
        <f aca="false">SUM(G180:G184)</f>
        <v>212</v>
      </c>
      <c r="H179" s="36" t="n">
        <f aca="false">SUM(H180:H184)</f>
        <v>18</v>
      </c>
      <c r="I179" s="33" t="n">
        <f aca="false">H179/G179*1</f>
        <v>0.0849056603773585</v>
      </c>
    </row>
    <row r="180" customFormat="false" ht="25.5" hidden="false" customHeight="true" outlineLevel="0" collapsed="false">
      <c r="A180" s="37" t="n">
        <v>5</v>
      </c>
      <c r="B180" s="38" t="n">
        <v>1</v>
      </c>
      <c r="C180" s="30" t="n">
        <f aca="false">A180-B180</f>
        <v>4</v>
      </c>
      <c r="D180" s="41" t="n">
        <f aca="false">C180/B180*1</f>
        <v>4</v>
      </c>
      <c r="E180" s="40" t="s">
        <v>12</v>
      </c>
      <c r="F180" s="30" t="n">
        <v>18</v>
      </c>
      <c r="G180" s="38" t="n">
        <v>8</v>
      </c>
      <c r="H180" s="32" t="n">
        <f aca="false">F180-G180</f>
        <v>10</v>
      </c>
      <c r="I180" s="53" t="n">
        <f aca="false">H180/G180</f>
        <v>1.25</v>
      </c>
    </row>
    <row r="181" customFormat="false" ht="25.5" hidden="false" customHeight="true" outlineLevel="0" collapsed="false">
      <c r="A181" s="37" t="n">
        <v>2</v>
      </c>
      <c r="B181" s="38" t="n">
        <v>1</v>
      </c>
      <c r="C181" s="30" t="n">
        <f aca="false">A181-B181</f>
        <v>1</v>
      </c>
      <c r="D181" s="41" t="n">
        <f aca="false">C181/B181*1</f>
        <v>1</v>
      </c>
      <c r="E181" s="40" t="s">
        <v>13</v>
      </c>
      <c r="F181" s="30" t="n">
        <v>4</v>
      </c>
      <c r="G181" s="38" t="n">
        <v>7</v>
      </c>
      <c r="H181" s="38" t="n">
        <f aca="false">F181-G181</f>
        <v>-3</v>
      </c>
      <c r="I181" s="39" t="n">
        <f aca="false">H181/G181*1</f>
        <v>-0.428571428571429</v>
      </c>
    </row>
    <row r="182" customFormat="false" ht="25.5" hidden="false" customHeight="true" outlineLevel="0" collapsed="false">
      <c r="A182" s="37" t="n">
        <v>0</v>
      </c>
      <c r="B182" s="38" t="n">
        <v>0</v>
      </c>
      <c r="C182" s="30" t="n">
        <f aca="false">A182-B182</f>
        <v>0</v>
      </c>
      <c r="D182" s="67" t="n">
        <v>0</v>
      </c>
      <c r="E182" s="40" t="s">
        <v>14</v>
      </c>
      <c r="F182" s="30" t="n">
        <v>0</v>
      </c>
      <c r="G182" s="38" t="n">
        <v>0</v>
      </c>
      <c r="H182" s="38" t="n">
        <f aca="false">F182-G182</f>
        <v>0</v>
      </c>
      <c r="I182" s="68" t="n">
        <v>0</v>
      </c>
    </row>
    <row r="183" customFormat="false" ht="25.5" hidden="false" customHeight="true" outlineLevel="0" collapsed="false">
      <c r="A183" s="37" t="n">
        <v>7</v>
      </c>
      <c r="B183" s="38" t="n">
        <v>9</v>
      </c>
      <c r="C183" s="30" t="n">
        <f aca="false">A183-B183</f>
        <v>-2</v>
      </c>
      <c r="D183" s="41" t="n">
        <f aca="false">C183/B183*1</f>
        <v>-0.222222222222222</v>
      </c>
      <c r="E183" s="40" t="s">
        <v>15</v>
      </c>
      <c r="F183" s="30" t="n">
        <v>50</v>
      </c>
      <c r="G183" s="38" t="n">
        <v>92</v>
      </c>
      <c r="H183" s="38" t="n">
        <f aca="false">F183-G183</f>
        <v>-42</v>
      </c>
      <c r="I183" s="58" t="n">
        <f aca="false">H183/G183</f>
        <v>-0.456521739130435</v>
      </c>
    </row>
    <row r="184" customFormat="false" ht="25.5" hidden="false" customHeight="true" outlineLevel="0" collapsed="false">
      <c r="A184" s="37" t="n">
        <v>20</v>
      </c>
      <c r="B184" s="38" t="n">
        <v>10</v>
      </c>
      <c r="C184" s="30" t="n">
        <f aca="false">A184-B184</f>
        <v>10</v>
      </c>
      <c r="D184" s="35" t="n">
        <f aca="false">C184/B184*1</f>
        <v>1</v>
      </c>
      <c r="E184" s="40" t="s">
        <v>16</v>
      </c>
      <c r="F184" s="30" t="n">
        <v>158</v>
      </c>
      <c r="G184" s="38" t="n">
        <v>105</v>
      </c>
      <c r="H184" s="55" t="n">
        <f aca="false">F184-G184</f>
        <v>53</v>
      </c>
      <c r="I184" s="56" t="n">
        <f aca="false">H184/G184</f>
        <v>0.504761904761905</v>
      </c>
    </row>
    <row r="185" customFormat="false" ht="25.5" hidden="false" customHeight="true" outlineLevel="0" collapsed="false">
      <c r="A185" s="42" t="n">
        <f aca="false">SUM(A186:A188)</f>
        <v>114</v>
      </c>
      <c r="B185" s="42" t="n">
        <f aca="false">SUM(B186:B188)</f>
        <v>155</v>
      </c>
      <c r="C185" s="76" t="n">
        <f aca="false">SUM(C186:C189)</f>
        <v>-41</v>
      </c>
      <c r="D185" s="35" t="n">
        <f aca="false">C185/B185*1</f>
        <v>-0.264516129032258</v>
      </c>
      <c r="E185" s="27" t="s">
        <v>17</v>
      </c>
      <c r="F185" s="36" t="n">
        <f aca="false">SUM(F186:F188)</f>
        <v>1291</v>
      </c>
      <c r="G185" s="36" t="n">
        <f aca="false">SUM(G186:G188)</f>
        <v>1459</v>
      </c>
      <c r="H185" s="36" t="n">
        <f aca="false">SUM(H186:H189)</f>
        <v>-168</v>
      </c>
      <c r="I185" s="33" t="n">
        <f aca="false">H185/G185*1</f>
        <v>-0.115147361206306</v>
      </c>
    </row>
    <row r="186" customFormat="false" ht="25.5" hidden="false" customHeight="true" outlineLevel="0" collapsed="false">
      <c r="A186" s="37" t="n">
        <v>44</v>
      </c>
      <c r="B186" s="38" t="n">
        <v>69</v>
      </c>
      <c r="C186" s="30" t="n">
        <f aca="false">A186-B186</f>
        <v>-25</v>
      </c>
      <c r="D186" s="41" t="n">
        <f aca="false">C186/B186*1</f>
        <v>-0.36231884057971</v>
      </c>
      <c r="E186" s="40" t="s">
        <v>18</v>
      </c>
      <c r="F186" s="30" t="n">
        <v>463</v>
      </c>
      <c r="G186" s="38" t="n">
        <v>570</v>
      </c>
      <c r="H186" s="32" t="n">
        <f aca="false">F186-G186</f>
        <v>-107</v>
      </c>
      <c r="I186" s="53" t="n">
        <f aca="false">H186/G186</f>
        <v>-0.187719298245614</v>
      </c>
    </row>
    <row r="187" customFormat="false" ht="25.5" hidden="false" customHeight="true" outlineLevel="0" collapsed="false">
      <c r="A187" s="37" t="n">
        <v>66</v>
      </c>
      <c r="B187" s="38" t="n">
        <v>82</v>
      </c>
      <c r="C187" s="30" t="n">
        <f aca="false">A187-B187</f>
        <v>-16</v>
      </c>
      <c r="D187" s="41" t="n">
        <f aca="false">C187/B187*1</f>
        <v>-0.195121951219512</v>
      </c>
      <c r="E187" s="40" t="s">
        <v>19</v>
      </c>
      <c r="F187" s="30" t="n">
        <v>778</v>
      </c>
      <c r="G187" s="38" t="n">
        <v>851</v>
      </c>
      <c r="H187" s="38" t="n">
        <f aca="false">F187-G187</f>
        <v>-73</v>
      </c>
      <c r="I187" s="58" t="n">
        <f aca="false">H187/G187</f>
        <v>-0.0857814336075206</v>
      </c>
    </row>
    <row r="188" customFormat="false" ht="25.5" hidden="false" customHeight="true" outlineLevel="0" collapsed="false">
      <c r="A188" s="45" t="n">
        <v>4</v>
      </c>
      <c r="B188" s="29" t="n">
        <v>4</v>
      </c>
      <c r="C188" s="45" t="n">
        <f aca="false">A188-B188</f>
        <v>0</v>
      </c>
      <c r="D188" s="35" t="n">
        <f aca="false">C188/B188*1</f>
        <v>0</v>
      </c>
      <c r="E188" s="46" t="s">
        <v>20</v>
      </c>
      <c r="F188" s="47" t="n">
        <v>50</v>
      </c>
      <c r="G188" s="29" t="n">
        <v>38</v>
      </c>
      <c r="H188" s="55" t="n">
        <f aca="false">F188-G188</f>
        <v>12</v>
      </c>
      <c r="I188" s="56" t="n">
        <f aca="false">H188/G188</f>
        <v>0.315789473684211</v>
      </c>
    </row>
    <row r="189" customFormat="false" ht="25.5" hidden="false" customHeight="true" outlineLevel="0" collapsed="false">
      <c r="A189" s="2"/>
      <c r="B189" s="60"/>
      <c r="E189" s="63"/>
      <c r="F189" s="0" t="s">
        <v>2</v>
      </c>
    </row>
    <row r="190" customFormat="false" ht="25.5" hidden="false" customHeight="true" outlineLevel="0" collapsed="false">
      <c r="A190" s="74"/>
      <c r="B190" s="74"/>
    </row>
    <row r="191" customFormat="false" ht="25.5" hidden="false" customHeight="true" outlineLevel="0" collapsed="false"/>
    <row r="192" customFormat="false" ht="25.5" hidden="false" customHeight="true" outlineLevel="0" collapsed="false">
      <c r="A192" s="61"/>
      <c r="B192" s="2"/>
      <c r="C192" s="2"/>
      <c r="D192" s="2"/>
      <c r="E192" s="59" t="s">
        <v>30</v>
      </c>
      <c r="F192" s="2"/>
      <c r="G192" s="2"/>
      <c r="H192" s="2"/>
      <c r="I192" s="4"/>
    </row>
    <row r="193" customFormat="false" ht="25.5" hidden="false" customHeight="true" outlineLevel="0" collapsed="false">
      <c r="A193" s="5" t="s">
        <v>1</v>
      </c>
      <c r="G193" s="6" t="s">
        <v>2</v>
      </c>
      <c r="H193" s="7" t="s">
        <v>3</v>
      </c>
      <c r="I193" s="8"/>
    </row>
    <row r="194" customFormat="false" ht="25.5" hidden="false" customHeight="true" outlineLevel="0" collapsed="false">
      <c r="A194" s="9" t="str">
        <f aca="false">A3</f>
        <v>     Mes del 1 al 31 de octubre</v>
      </c>
      <c r="B194" s="10"/>
      <c r="C194" s="10"/>
      <c r="D194" s="11"/>
      <c r="E194" s="12" t="s">
        <v>2</v>
      </c>
      <c r="F194" s="13" t="str">
        <f aca="false">F3</f>
        <v>Acumulado al 31 de octubre</v>
      </c>
      <c r="G194" s="14"/>
      <c r="H194" s="14"/>
      <c r="I194" s="15"/>
    </row>
    <row r="195" customFormat="false" ht="25.5" hidden="false" customHeight="true" outlineLevel="0" collapsed="false">
      <c r="A195" s="16" t="s">
        <v>2</v>
      </c>
      <c r="B195" s="17" t="s">
        <v>2</v>
      </c>
      <c r="C195" s="18" t="s">
        <v>6</v>
      </c>
      <c r="D195" s="19"/>
      <c r="E195" s="17" t="s">
        <v>7</v>
      </c>
      <c r="F195" s="20" t="s">
        <v>2</v>
      </c>
      <c r="G195" s="17" t="s">
        <v>2</v>
      </c>
      <c r="H195" s="18" t="s">
        <v>6</v>
      </c>
      <c r="I195" s="21"/>
    </row>
    <row r="196" customFormat="false" ht="25.5" hidden="false" customHeight="true" outlineLevel="0" collapsed="false">
      <c r="A196" s="22" t="n">
        <v>2016</v>
      </c>
      <c r="B196" s="23" t="n">
        <v>2015</v>
      </c>
      <c r="C196" s="24" t="s">
        <v>8</v>
      </c>
      <c r="D196" s="25" t="s">
        <v>9</v>
      </c>
      <c r="E196" s="26"/>
      <c r="F196" s="22" t="n">
        <v>2016</v>
      </c>
      <c r="G196" s="23" t="n">
        <v>2015</v>
      </c>
      <c r="H196" s="28" t="s">
        <v>8</v>
      </c>
      <c r="I196" s="28" t="s">
        <v>9</v>
      </c>
    </row>
    <row r="197" customFormat="false" ht="24.75" hidden="false" customHeight="true" outlineLevel="0" collapsed="false">
      <c r="A197" s="29" t="n">
        <f aca="false">A198+A204</f>
        <v>54</v>
      </c>
      <c r="B197" s="29" t="n">
        <f aca="false">B198+B204</f>
        <v>51</v>
      </c>
      <c r="C197" s="30" t="n">
        <f aca="false">C198+C204</f>
        <v>3</v>
      </c>
      <c r="D197" s="31" t="n">
        <f aca="false">C197/B197*1</f>
        <v>0.0588235294117647</v>
      </c>
      <c r="E197" s="26" t="s">
        <v>10</v>
      </c>
      <c r="F197" s="29" t="n">
        <f aca="false">F198+F204</f>
        <v>541</v>
      </c>
      <c r="G197" s="29" t="n">
        <f aca="false">G198+G204</f>
        <v>563</v>
      </c>
      <c r="H197" s="30" t="n">
        <f aca="false">H198+H204</f>
        <v>-22</v>
      </c>
      <c r="I197" s="33" t="n">
        <f aca="false">H197/G197*1</f>
        <v>-0.0390763765541741</v>
      </c>
    </row>
    <row r="198" customFormat="false" ht="26.25" hidden="false" customHeight="true" outlineLevel="0" collapsed="false">
      <c r="A198" s="29" t="n">
        <f aca="false">SUM(A199:A203)</f>
        <v>15</v>
      </c>
      <c r="B198" s="29" t="n">
        <f aca="false">SUM(B199:B203)</f>
        <v>13</v>
      </c>
      <c r="C198" s="34" t="n">
        <f aca="false">SUM(C199:C203)</f>
        <v>2</v>
      </c>
      <c r="D198" s="35" t="n">
        <f aca="false">C198/B198*1</f>
        <v>0.153846153846154</v>
      </c>
      <c r="E198" s="26" t="s">
        <v>11</v>
      </c>
      <c r="F198" s="29" t="n">
        <f aca="false">SUM(F199:F203)</f>
        <v>106</v>
      </c>
      <c r="G198" s="29" t="n">
        <f aca="false">SUM(G199:G203)</f>
        <v>93</v>
      </c>
      <c r="H198" s="36" t="n">
        <f aca="false">SUM(H199:H203)</f>
        <v>13</v>
      </c>
      <c r="I198" s="33" t="n">
        <f aca="false">H198/G198*1</f>
        <v>0.139784946236559</v>
      </c>
    </row>
    <row r="199" customFormat="false" ht="25.5" hidden="false" customHeight="true" outlineLevel="0" collapsed="false">
      <c r="A199" s="37" t="n">
        <v>0</v>
      </c>
      <c r="B199" s="38" t="n">
        <v>0</v>
      </c>
      <c r="C199" s="30" t="n">
        <f aca="false">A199-B199</f>
        <v>0</v>
      </c>
      <c r="D199" s="41" t="n">
        <v>0</v>
      </c>
      <c r="E199" s="40" t="s">
        <v>12</v>
      </c>
      <c r="F199" s="30" t="n">
        <v>3</v>
      </c>
      <c r="G199" s="38" t="n">
        <v>1</v>
      </c>
      <c r="H199" s="32" t="n">
        <f aca="false">F199-G199</f>
        <v>2</v>
      </c>
      <c r="I199" s="41" t="n">
        <f aca="false">H199/G199*1</f>
        <v>2</v>
      </c>
      <c r="J199" s="77"/>
    </row>
    <row r="200" customFormat="false" ht="25.5" hidden="false" customHeight="true" outlineLevel="0" collapsed="false">
      <c r="A200" s="37" t="n">
        <v>0</v>
      </c>
      <c r="B200" s="38" t="n">
        <v>1</v>
      </c>
      <c r="C200" s="30" t="n">
        <f aca="false">A200-B200</f>
        <v>-1</v>
      </c>
      <c r="D200" s="39" t="n">
        <f aca="false">C200/B200*1</f>
        <v>-1</v>
      </c>
      <c r="E200" s="40" t="s">
        <v>13</v>
      </c>
      <c r="F200" s="30" t="n">
        <v>3</v>
      </c>
      <c r="G200" s="38" t="n">
        <v>7</v>
      </c>
      <c r="H200" s="38" t="n">
        <f aca="false">F200-G200</f>
        <v>-4</v>
      </c>
      <c r="I200" s="39" t="n">
        <f aca="false">H200/G200*1</f>
        <v>-0.571428571428571</v>
      </c>
    </row>
    <row r="201" customFormat="false" ht="25.5" hidden="false" customHeight="true" outlineLevel="0" collapsed="false">
      <c r="A201" s="37" t="n">
        <v>0</v>
      </c>
      <c r="B201" s="38" t="n">
        <v>0</v>
      </c>
      <c r="C201" s="30" t="n">
        <f aca="false">A201-B201</f>
        <v>0</v>
      </c>
      <c r="D201" s="67" t="n">
        <v>0</v>
      </c>
      <c r="E201" s="40" t="s">
        <v>14</v>
      </c>
      <c r="F201" s="30" t="n">
        <v>0</v>
      </c>
      <c r="G201" s="38" t="n">
        <v>0</v>
      </c>
      <c r="H201" s="38" t="n">
        <f aca="false">F201-G201</f>
        <v>0</v>
      </c>
      <c r="I201" s="68" t="n">
        <v>0</v>
      </c>
    </row>
    <row r="202" customFormat="false" ht="25.5" hidden="false" customHeight="true" outlineLevel="0" collapsed="false">
      <c r="A202" s="37" t="n">
        <v>0</v>
      </c>
      <c r="B202" s="38" t="n">
        <v>0</v>
      </c>
      <c r="C202" s="30" t="n">
        <f aca="false">A202-B202</f>
        <v>0</v>
      </c>
      <c r="D202" s="41" t="e">
        <f aca="false">C202/B202*1</f>
        <v>#DIV/0!</v>
      </c>
      <c r="E202" s="40" t="s">
        <v>15</v>
      </c>
      <c r="F202" s="30" t="n">
        <v>7</v>
      </c>
      <c r="G202" s="38" t="n">
        <v>13</v>
      </c>
      <c r="H202" s="38" t="n">
        <f aca="false">F202-G202</f>
        <v>-6</v>
      </c>
      <c r="I202" s="78" t="n">
        <f aca="false">H202/G202</f>
        <v>-0.461538461538462</v>
      </c>
    </row>
    <row r="203" customFormat="false" ht="25.5" hidden="false" customHeight="true" outlineLevel="0" collapsed="false">
      <c r="A203" s="37" t="n">
        <v>15</v>
      </c>
      <c r="B203" s="38" t="n">
        <v>12</v>
      </c>
      <c r="C203" s="30" t="n">
        <f aca="false">A203-B203</f>
        <v>3</v>
      </c>
      <c r="D203" s="35" t="n">
        <f aca="false">C203/B203*1</f>
        <v>0.25</v>
      </c>
      <c r="E203" s="40" t="s">
        <v>16</v>
      </c>
      <c r="F203" s="30" t="n">
        <v>93</v>
      </c>
      <c r="G203" s="38" t="n">
        <v>72</v>
      </c>
      <c r="H203" s="55" t="n">
        <f aca="false">F203-G203</f>
        <v>21</v>
      </c>
      <c r="I203" s="56" t="n">
        <f aca="false">H203/G203</f>
        <v>0.291666666666667</v>
      </c>
    </row>
    <row r="204" customFormat="false" ht="25.5" hidden="false" customHeight="true" outlineLevel="0" collapsed="false">
      <c r="A204" s="36" t="n">
        <f aca="false">SUM(A205:A207)</f>
        <v>39</v>
      </c>
      <c r="B204" s="36" t="n">
        <f aca="false">SUM(B205:B207)</f>
        <v>38</v>
      </c>
      <c r="C204" s="34" t="n">
        <f aca="false">SUM(C205:C208)</f>
        <v>1</v>
      </c>
      <c r="D204" s="35" t="n">
        <f aca="false">C204/B204*1</f>
        <v>0.0263157894736842</v>
      </c>
      <c r="E204" s="27" t="s">
        <v>17</v>
      </c>
      <c r="F204" s="36" t="n">
        <f aca="false">SUM(F205:F207)</f>
        <v>435</v>
      </c>
      <c r="G204" s="36" t="n">
        <f aca="false">SUM(G205:G207)</f>
        <v>470</v>
      </c>
      <c r="H204" s="36" t="n">
        <f aca="false">SUM(H205:H208)</f>
        <v>-35</v>
      </c>
      <c r="I204" s="33" t="n">
        <f aca="false">H204/G204*1</f>
        <v>-0.074468085106383</v>
      </c>
    </row>
    <row r="205" customFormat="false" ht="25.5" hidden="false" customHeight="true" outlineLevel="0" collapsed="false">
      <c r="A205" s="37" t="n">
        <v>14</v>
      </c>
      <c r="B205" s="38" t="n">
        <v>16</v>
      </c>
      <c r="C205" s="30" t="n">
        <f aca="false">A205-B205</f>
        <v>-2</v>
      </c>
      <c r="D205" s="41" t="n">
        <f aca="false">C205/B205*1</f>
        <v>-0.125</v>
      </c>
      <c r="E205" s="40" t="s">
        <v>18</v>
      </c>
      <c r="F205" s="30" t="n">
        <v>149</v>
      </c>
      <c r="G205" s="38" t="n">
        <v>207</v>
      </c>
      <c r="H205" s="32" t="n">
        <f aca="false">F205-G205</f>
        <v>-58</v>
      </c>
      <c r="I205" s="53" t="n">
        <f aca="false">H205/G205</f>
        <v>-0.280193236714976</v>
      </c>
    </row>
    <row r="206" customFormat="false" ht="25.5" hidden="false" customHeight="true" outlineLevel="0" collapsed="false">
      <c r="A206" s="37" t="n">
        <v>22</v>
      </c>
      <c r="B206" s="38" t="n">
        <v>21</v>
      </c>
      <c r="C206" s="37" t="n">
        <f aca="false">A206-B206</f>
        <v>1</v>
      </c>
      <c r="D206" s="39" t="n">
        <f aca="false">C206/B206*1</f>
        <v>0.0476190476190476</v>
      </c>
      <c r="E206" s="40" t="s">
        <v>19</v>
      </c>
      <c r="F206" s="30" t="n">
        <v>267</v>
      </c>
      <c r="G206" s="38" t="n">
        <v>253</v>
      </c>
      <c r="H206" s="38" t="n">
        <f aca="false">F206-G206</f>
        <v>14</v>
      </c>
      <c r="I206" s="58" t="n">
        <f aca="false">H206/G206</f>
        <v>0.0553359683794466</v>
      </c>
    </row>
    <row r="207" customFormat="false" ht="25.5" hidden="false" customHeight="true" outlineLevel="0" collapsed="false">
      <c r="A207" s="45" t="n">
        <v>3</v>
      </c>
      <c r="B207" s="29" t="n">
        <v>1</v>
      </c>
      <c r="C207" s="45" t="n">
        <f aca="false">A207-B207</f>
        <v>2</v>
      </c>
      <c r="D207" s="35" t="n">
        <f aca="false">C207/B207*1</f>
        <v>2</v>
      </c>
      <c r="E207" s="46" t="s">
        <v>20</v>
      </c>
      <c r="F207" s="47" t="n">
        <v>19</v>
      </c>
      <c r="G207" s="29" t="n">
        <v>10</v>
      </c>
      <c r="H207" s="55" t="n">
        <f aca="false">F207-G207</f>
        <v>9</v>
      </c>
      <c r="I207" s="56" t="n">
        <f aca="false">H207/G207</f>
        <v>0.9</v>
      </c>
    </row>
    <row r="208" customFormat="false" ht="25.5" hidden="false" customHeight="true" outlineLevel="0" collapsed="false">
      <c r="G208" s="60"/>
    </row>
    <row r="209" customFormat="false" ht="25.5" hidden="false" customHeight="true" outlineLevel="0" collapsed="false"/>
    <row r="210" customFormat="false" ht="25.5" hidden="false" customHeight="true" outlineLevel="0" collapsed="false">
      <c r="A210" s="61"/>
      <c r="B210" s="2"/>
      <c r="C210" s="2"/>
      <c r="D210" s="2"/>
      <c r="E210" s="59" t="s">
        <v>31</v>
      </c>
      <c r="F210" s="2"/>
      <c r="G210" s="2"/>
      <c r="H210" s="2"/>
      <c r="I210" s="4"/>
    </row>
    <row r="211" customFormat="false" ht="25.5" hidden="false" customHeight="true" outlineLevel="0" collapsed="false">
      <c r="A211" s="5" t="s">
        <v>1</v>
      </c>
      <c r="G211" s="6" t="s">
        <v>2</v>
      </c>
      <c r="H211" s="7" t="s">
        <v>3</v>
      </c>
      <c r="I211" s="8"/>
    </row>
    <row r="212" customFormat="false" ht="25.5" hidden="false" customHeight="true" outlineLevel="0" collapsed="false">
      <c r="A212" s="9" t="str">
        <f aca="false">A3</f>
        <v>     Mes del 1 al 31 de octubre</v>
      </c>
      <c r="B212" s="10"/>
      <c r="C212" s="10"/>
      <c r="D212" s="11"/>
      <c r="E212" s="12" t="s">
        <v>2</v>
      </c>
      <c r="F212" s="13" t="str">
        <f aca="false">F3</f>
        <v>Acumulado al 31 de octubre</v>
      </c>
      <c r="G212" s="14"/>
      <c r="H212" s="14"/>
      <c r="I212" s="15"/>
    </row>
    <row r="213" customFormat="false" ht="25.5" hidden="false" customHeight="true" outlineLevel="0" collapsed="false">
      <c r="A213" s="16" t="s">
        <v>2</v>
      </c>
      <c r="B213" s="17" t="s">
        <v>2</v>
      </c>
      <c r="C213" s="18" t="s">
        <v>6</v>
      </c>
      <c r="D213" s="19"/>
      <c r="E213" s="17" t="s">
        <v>7</v>
      </c>
      <c r="F213" s="20" t="s">
        <v>2</v>
      </c>
      <c r="G213" s="17" t="s">
        <v>2</v>
      </c>
      <c r="H213" s="18" t="s">
        <v>6</v>
      </c>
      <c r="I213" s="21"/>
    </row>
    <row r="214" customFormat="false" ht="26.25" hidden="false" customHeight="true" outlineLevel="0" collapsed="false">
      <c r="A214" s="22" t="n">
        <v>2016</v>
      </c>
      <c r="B214" s="23" t="n">
        <v>2015</v>
      </c>
      <c r="C214" s="24" t="s">
        <v>8</v>
      </c>
      <c r="D214" s="25" t="s">
        <v>9</v>
      </c>
      <c r="E214" s="26"/>
      <c r="F214" s="22" t="n">
        <v>2016</v>
      </c>
      <c r="G214" s="23" t="n">
        <v>2015</v>
      </c>
      <c r="H214" s="28" t="s">
        <v>8</v>
      </c>
      <c r="I214" s="28" t="s">
        <v>9</v>
      </c>
    </row>
    <row r="215" customFormat="false" ht="26.25" hidden="false" customHeight="true" outlineLevel="0" collapsed="false">
      <c r="A215" s="29" t="n">
        <f aca="false">A216+A222</f>
        <v>98</v>
      </c>
      <c r="B215" s="29" t="n">
        <f aca="false">B216+B222</f>
        <v>139</v>
      </c>
      <c r="C215" s="30" t="n">
        <f aca="false">C216+C222</f>
        <v>-41</v>
      </c>
      <c r="D215" s="31" t="n">
        <f aca="false">C215/B215*1</f>
        <v>-0.294964028776978</v>
      </c>
      <c r="E215" s="26" t="s">
        <v>10</v>
      </c>
      <c r="F215" s="29" t="n">
        <f aca="false">F216+F222</f>
        <v>1161</v>
      </c>
      <c r="G215" s="29" t="n">
        <f aca="false">G216+G222</f>
        <v>1208</v>
      </c>
      <c r="H215" s="30" t="n">
        <f aca="false">H216+H222</f>
        <v>-47</v>
      </c>
      <c r="I215" s="33" t="n">
        <f aca="false">H215/G215*1</f>
        <v>-0.0389072847682119</v>
      </c>
    </row>
    <row r="216" customFormat="false" ht="26.25" hidden="false" customHeight="true" outlineLevel="0" collapsed="false">
      <c r="A216" s="29" t="n">
        <f aca="false">SUM(A217:A221)</f>
        <v>18</v>
      </c>
      <c r="B216" s="29" t="n">
        <f aca="false">SUM(B217:B221)</f>
        <v>26</v>
      </c>
      <c r="C216" s="34" t="n">
        <f aca="false">SUM(C217:C221)</f>
        <v>-8</v>
      </c>
      <c r="D216" s="35" t="n">
        <f aca="false">C216/B216*1</f>
        <v>-0.307692307692308</v>
      </c>
      <c r="E216" s="26" t="s">
        <v>11</v>
      </c>
      <c r="F216" s="29" t="n">
        <f aca="false">SUM(F217:F221)</f>
        <v>238</v>
      </c>
      <c r="G216" s="29" t="n">
        <f aca="false">SUM(G217:G221)</f>
        <v>253</v>
      </c>
      <c r="H216" s="36" t="n">
        <f aca="false">SUM(H217:H221)</f>
        <v>-15</v>
      </c>
      <c r="I216" s="33" t="n">
        <f aca="false">H216/G216*1</f>
        <v>-0.0592885375494071</v>
      </c>
    </row>
    <row r="217" customFormat="false" ht="25.5" hidden="false" customHeight="true" outlineLevel="0" collapsed="false">
      <c r="A217" s="37" t="n">
        <v>2</v>
      </c>
      <c r="B217" s="38" t="n">
        <v>2</v>
      </c>
      <c r="C217" s="30" t="n">
        <f aca="false">A217-B217</f>
        <v>0</v>
      </c>
      <c r="D217" s="39" t="n">
        <v>0</v>
      </c>
      <c r="E217" s="40" t="s">
        <v>12</v>
      </c>
      <c r="F217" s="30" t="n">
        <v>22</v>
      </c>
      <c r="G217" s="38" t="n">
        <v>22</v>
      </c>
      <c r="H217" s="32" t="n">
        <f aca="false">F217-G217</f>
        <v>0</v>
      </c>
      <c r="I217" s="39" t="n">
        <f aca="false">H217/G217*1</f>
        <v>0</v>
      </c>
    </row>
    <row r="218" customFormat="false" ht="25.5" hidden="false" customHeight="true" outlineLevel="0" collapsed="false">
      <c r="A218" s="37" t="n">
        <v>2</v>
      </c>
      <c r="B218" s="38" t="n">
        <v>1</v>
      </c>
      <c r="C218" s="30" t="n">
        <f aca="false">A218-B218</f>
        <v>1</v>
      </c>
      <c r="D218" s="39" t="n">
        <v>0</v>
      </c>
      <c r="E218" s="40" t="s">
        <v>13</v>
      </c>
      <c r="F218" s="30" t="n">
        <v>9</v>
      </c>
      <c r="G218" s="38" t="n">
        <v>7</v>
      </c>
      <c r="H218" s="38" t="n">
        <f aca="false">F218-G218</f>
        <v>2</v>
      </c>
      <c r="I218" s="39" t="n">
        <f aca="false">H218/G218*1</f>
        <v>0.285714285714286</v>
      </c>
    </row>
    <row r="219" customFormat="false" ht="25.5" hidden="false" customHeight="true" outlineLevel="0" collapsed="false">
      <c r="A219" s="37" t="n">
        <v>0</v>
      </c>
      <c r="B219" s="38" t="n">
        <v>0</v>
      </c>
      <c r="C219" s="30" t="n">
        <f aca="false">A219-B219</f>
        <v>0</v>
      </c>
      <c r="D219" s="67" t="n">
        <v>0</v>
      </c>
      <c r="E219" s="40" t="s">
        <v>14</v>
      </c>
      <c r="F219" s="30" t="n">
        <v>0</v>
      </c>
      <c r="G219" s="38" t="n">
        <v>0</v>
      </c>
      <c r="H219" s="38" t="n">
        <f aca="false">F219-G219</f>
        <v>0</v>
      </c>
      <c r="I219" s="68" t="n">
        <v>0</v>
      </c>
    </row>
    <row r="220" customFormat="false" ht="25.5" hidden="false" customHeight="true" outlineLevel="0" collapsed="false">
      <c r="A220" s="37" t="n">
        <v>5</v>
      </c>
      <c r="B220" s="38" t="n">
        <v>9</v>
      </c>
      <c r="C220" s="30" t="n">
        <f aca="false">A220-B220</f>
        <v>-4</v>
      </c>
      <c r="D220" s="41" t="n">
        <f aca="false">C220/B220*1</f>
        <v>-0.444444444444444</v>
      </c>
      <c r="E220" s="40" t="s">
        <v>15</v>
      </c>
      <c r="F220" s="30" t="n">
        <v>59</v>
      </c>
      <c r="G220" s="38" t="n">
        <v>73</v>
      </c>
      <c r="H220" s="38" t="n">
        <f aca="false">F220-G220</f>
        <v>-14</v>
      </c>
      <c r="I220" s="58" t="n">
        <f aca="false">H220/G220</f>
        <v>-0.191780821917808</v>
      </c>
    </row>
    <row r="221" customFormat="false" ht="25.5" hidden="false" customHeight="true" outlineLevel="0" collapsed="false">
      <c r="A221" s="37" t="n">
        <v>9</v>
      </c>
      <c r="B221" s="38" t="n">
        <v>14</v>
      </c>
      <c r="C221" s="30" t="n">
        <f aca="false">A221-B221</f>
        <v>-5</v>
      </c>
      <c r="D221" s="41" t="n">
        <f aca="false">C221/B221*1</f>
        <v>-0.357142857142857</v>
      </c>
      <c r="E221" s="40" t="s">
        <v>16</v>
      </c>
      <c r="F221" s="30" t="n">
        <v>148</v>
      </c>
      <c r="G221" s="38" t="n">
        <v>151</v>
      </c>
      <c r="H221" s="55" t="n">
        <f aca="false">F221-G221</f>
        <v>-3</v>
      </c>
      <c r="I221" s="56" t="n">
        <f aca="false">H221/G221</f>
        <v>-0.0198675496688742</v>
      </c>
    </row>
    <row r="222" customFormat="false" ht="25.5" hidden="false" customHeight="true" outlineLevel="0" collapsed="false">
      <c r="A222" s="36" t="n">
        <f aca="false">SUM(A223:A225)</f>
        <v>80</v>
      </c>
      <c r="B222" s="36" t="n">
        <f aca="false">SUM(B223:B225)</f>
        <v>113</v>
      </c>
      <c r="C222" s="34" t="n">
        <f aca="false">SUM(C223:C226)</f>
        <v>-33</v>
      </c>
      <c r="D222" s="31" t="n">
        <f aca="false">C222/B222*1</f>
        <v>-0.292035398230089</v>
      </c>
      <c r="E222" s="27" t="s">
        <v>17</v>
      </c>
      <c r="F222" s="36" t="n">
        <f aca="false">SUM(F223:F225)</f>
        <v>923</v>
      </c>
      <c r="G222" s="36" t="n">
        <f aca="false">SUM(G223:G225)</f>
        <v>955</v>
      </c>
      <c r="H222" s="36" t="n">
        <f aca="false">SUM(H223:H226)</f>
        <v>-32</v>
      </c>
      <c r="I222" s="33" t="n">
        <f aca="false">H222/G222*1</f>
        <v>-0.0335078534031414</v>
      </c>
    </row>
    <row r="223" customFormat="false" ht="25.5" hidden="false" customHeight="true" outlineLevel="0" collapsed="false">
      <c r="A223" s="37" t="n">
        <v>26</v>
      </c>
      <c r="B223" s="38" t="n">
        <v>38</v>
      </c>
      <c r="C223" s="30" t="n">
        <f aca="false">A223-B223</f>
        <v>-12</v>
      </c>
      <c r="D223" s="41" t="n">
        <f aca="false">C223/B223*1</f>
        <v>-0.315789473684211</v>
      </c>
      <c r="E223" s="40" t="s">
        <v>18</v>
      </c>
      <c r="F223" s="30" t="n">
        <v>295</v>
      </c>
      <c r="G223" s="38" t="n">
        <v>288</v>
      </c>
      <c r="H223" s="32" t="n">
        <f aca="false">F223-G223</f>
        <v>7</v>
      </c>
      <c r="I223" s="53" t="n">
        <f aca="false">H223/G223</f>
        <v>0.0243055555555556</v>
      </c>
    </row>
    <row r="224" customFormat="false" ht="25.5" hidden="false" customHeight="true" outlineLevel="0" collapsed="false">
      <c r="A224" s="37" t="n">
        <v>49</v>
      </c>
      <c r="B224" s="38" t="n">
        <v>73</v>
      </c>
      <c r="C224" s="30" t="n">
        <f aca="false">A224-B224</f>
        <v>-24</v>
      </c>
      <c r="D224" s="41" t="n">
        <f aca="false">C224/B224*1</f>
        <v>-0.328767123287671</v>
      </c>
      <c r="E224" s="40" t="s">
        <v>19</v>
      </c>
      <c r="F224" s="30" t="n">
        <v>582</v>
      </c>
      <c r="G224" s="38" t="n">
        <v>616</v>
      </c>
      <c r="H224" s="38" t="n">
        <f aca="false">F224-G224</f>
        <v>-34</v>
      </c>
      <c r="I224" s="58" t="n">
        <f aca="false">H224/G224</f>
        <v>-0.0551948051948052</v>
      </c>
    </row>
    <row r="225" customFormat="false" ht="25.5" hidden="false" customHeight="true" outlineLevel="0" collapsed="false">
      <c r="A225" s="45" t="n">
        <v>5</v>
      </c>
      <c r="B225" s="29" t="n">
        <v>2</v>
      </c>
      <c r="C225" s="45" t="n">
        <f aca="false">A225-B225</f>
        <v>3</v>
      </c>
      <c r="D225" s="35" t="n">
        <f aca="false">C225/B225*1</f>
        <v>1.5</v>
      </c>
      <c r="E225" s="46" t="s">
        <v>20</v>
      </c>
      <c r="F225" s="47" t="n">
        <v>46</v>
      </c>
      <c r="G225" s="29" t="n">
        <v>51</v>
      </c>
      <c r="H225" s="55" t="n">
        <f aca="false">F225-G225</f>
        <v>-5</v>
      </c>
      <c r="I225" s="56" t="n">
        <f aca="false">H225/G225</f>
        <v>-0.0980392156862745</v>
      </c>
    </row>
    <row r="226" customFormat="false" ht="25.5" hidden="false" customHeight="true" outlineLevel="0" collapsed="false"/>
    <row r="227" customFormat="false" ht="25.5" hidden="false" customHeight="true" outlineLevel="0" collapsed="false"/>
    <row r="228" customFormat="false" ht="25.5" hidden="false" customHeight="true" outlineLevel="0" collapsed="false"/>
    <row r="229" customFormat="false" ht="25.5" hidden="false" customHeight="true" outlineLevel="0" collapsed="false">
      <c r="A229" s="61"/>
      <c r="B229" s="2"/>
      <c r="C229" s="2"/>
      <c r="D229" s="2"/>
      <c r="E229" s="59" t="s">
        <v>32</v>
      </c>
      <c r="F229" s="2"/>
      <c r="G229" s="2"/>
      <c r="H229" s="2"/>
      <c r="I229" s="4"/>
    </row>
    <row r="230" customFormat="false" ht="25.5" hidden="false" customHeight="true" outlineLevel="0" collapsed="false">
      <c r="A230" s="5" t="s">
        <v>1</v>
      </c>
      <c r="G230" s="6" t="s">
        <v>2</v>
      </c>
      <c r="H230" s="7" t="s">
        <v>3</v>
      </c>
      <c r="I230" s="8"/>
    </row>
    <row r="231" customFormat="false" ht="25.5" hidden="false" customHeight="true" outlineLevel="0" collapsed="false">
      <c r="A231" s="9" t="str">
        <f aca="false">A3</f>
        <v>     Mes del 1 al 31 de octubre</v>
      </c>
      <c r="B231" s="10"/>
      <c r="C231" s="10"/>
      <c r="D231" s="11"/>
      <c r="E231" s="12" t="s">
        <v>2</v>
      </c>
      <c r="F231" s="13" t="str">
        <f aca="false">F3</f>
        <v>Acumulado al 31 de octubre</v>
      </c>
      <c r="G231" s="14"/>
      <c r="H231" s="14"/>
      <c r="I231" s="15"/>
    </row>
    <row r="232" customFormat="false" ht="26.25" hidden="false" customHeight="true" outlineLevel="0" collapsed="false">
      <c r="A232" s="16" t="s">
        <v>2</v>
      </c>
      <c r="B232" s="17" t="s">
        <v>2</v>
      </c>
      <c r="C232" s="18" t="s">
        <v>6</v>
      </c>
      <c r="D232" s="19"/>
      <c r="E232" s="17" t="s">
        <v>7</v>
      </c>
      <c r="F232" s="20" t="s">
        <v>2</v>
      </c>
      <c r="G232" s="17" t="s">
        <v>2</v>
      </c>
      <c r="H232" s="18" t="s">
        <v>6</v>
      </c>
      <c r="I232" s="21"/>
    </row>
    <row r="233" customFormat="false" ht="26.25" hidden="false" customHeight="true" outlineLevel="0" collapsed="false">
      <c r="A233" s="22" t="n">
        <v>2016</v>
      </c>
      <c r="B233" s="23" t="n">
        <v>2015</v>
      </c>
      <c r="C233" s="28" t="s">
        <v>8</v>
      </c>
      <c r="D233" s="25" t="s">
        <v>9</v>
      </c>
      <c r="E233" s="26"/>
      <c r="F233" s="22" t="n">
        <v>2016</v>
      </c>
      <c r="G233" s="23" t="n">
        <v>2015</v>
      </c>
      <c r="H233" s="28" t="s">
        <v>8</v>
      </c>
      <c r="I233" s="28" t="s">
        <v>9</v>
      </c>
    </row>
    <row r="234" customFormat="false" ht="26.25" hidden="false" customHeight="true" outlineLevel="0" collapsed="false">
      <c r="A234" s="29" t="n">
        <f aca="false">A235+A241</f>
        <v>84</v>
      </c>
      <c r="B234" s="29" t="n">
        <f aca="false">B235+B241</f>
        <v>116</v>
      </c>
      <c r="C234" s="47" t="n">
        <f aca="false">C235+C241</f>
        <v>-9</v>
      </c>
      <c r="D234" s="31" t="n">
        <f aca="false">C234/B234*1</f>
        <v>-0.0775862068965517</v>
      </c>
      <c r="E234" s="26" t="s">
        <v>10</v>
      </c>
      <c r="F234" s="29" t="n">
        <f aca="false">F235+F241</f>
        <v>943</v>
      </c>
      <c r="G234" s="29" t="n">
        <f aca="false">G235+G241</f>
        <v>1020</v>
      </c>
      <c r="H234" s="30" t="n">
        <f aca="false">H235+H241</f>
        <v>-77</v>
      </c>
      <c r="I234" s="33" t="n">
        <f aca="false">H234/G234*1</f>
        <v>-0.0754901960784314</v>
      </c>
    </row>
    <row r="235" customFormat="false" ht="25.5" hidden="false" customHeight="true" outlineLevel="0" collapsed="false">
      <c r="A235" s="29" t="n">
        <f aca="false">SUM(A236:A240)</f>
        <v>19</v>
      </c>
      <c r="B235" s="29" t="n">
        <f aca="false">SUM(B236:B240)</f>
        <v>22</v>
      </c>
      <c r="C235" s="34" t="n">
        <f aca="false">SUM(C236:C240)</f>
        <v>-3</v>
      </c>
      <c r="D235" s="35" t="n">
        <f aca="false">C235/B235*1</f>
        <v>-0.136363636363636</v>
      </c>
      <c r="E235" s="26" t="s">
        <v>11</v>
      </c>
      <c r="F235" s="29" t="n">
        <f aca="false">SUM(F236:F240)</f>
        <v>147</v>
      </c>
      <c r="G235" s="29" t="n">
        <f aca="false">SUM(G236:G240)</f>
        <v>151</v>
      </c>
      <c r="H235" s="36" t="n">
        <f aca="false">SUM(H236:H240)</f>
        <v>-4</v>
      </c>
      <c r="I235" s="33" t="n">
        <f aca="false">H235/G235*1</f>
        <v>-0.0264900662251656</v>
      </c>
    </row>
    <row r="236" customFormat="false" ht="25.5" hidden="false" customHeight="true" outlineLevel="0" collapsed="false">
      <c r="A236" s="37" t="n">
        <v>0</v>
      </c>
      <c r="B236" s="38" t="n">
        <v>2</v>
      </c>
      <c r="C236" s="30" t="n">
        <f aca="false">A236-B236</f>
        <v>-2</v>
      </c>
      <c r="D236" s="41" t="n">
        <v>0</v>
      </c>
      <c r="E236" s="40" t="s">
        <v>12</v>
      </c>
      <c r="F236" s="30" t="n">
        <v>15</v>
      </c>
      <c r="G236" s="38" t="n">
        <v>15</v>
      </c>
      <c r="H236" s="32" t="n">
        <f aca="false">F236-G236</f>
        <v>0</v>
      </c>
      <c r="I236" s="79" t="n">
        <f aca="false">H236/G236</f>
        <v>0</v>
      </c>
    </row>
    <row r="237" customFormat="false" ht="25.5" hidden="false" customHeight="true" outlineLevel="0" collapsed="false">
      <c r="A237" s="37" t="n">
        <v>0</v>
      </c>
      <c r="B237" s="38" t="n">
        <v>0</v>
      </c>
      <c r="C237" s="30" t="n">
        <f aca="false">A237-B237</f>
        <v>0</v>
      </c>
      <c r="D237" s="39" t="n">
        <v>0</v>
      </c>
      <c r="E237" s="40" t="s">
        <v>13</v>
      </c>
      <c r="F237" s="30" t="n">
        <v>2</v>
      </c>
      <c r="G237" s="38" t="n">
        <v>1</v>
      </c>
      <c r="H237" s="38" t="n">
        <f aca="false">F237-G237</f>
        <v>1</v>
      </c>
      <c r="I237" s="68" t="n">
        <f aca="false">H237/G237*1</f>
        <v>1</v>
      </c>
    </row>
    <row r="238" customFormat="false" ht="25.5" hidden="false" customHeight="true" outlineLevel="0" collapsed="false">
      <c r="A238" s="37" t="n">
        <v>0</v>
      </c>
      <c r="B238" s="38" t="n">
        <v>0</v>
      </c>
      <c r="C238" s="30" t="n">
        <f aca="false">A238-B238</f>
        <v>0</v>
      </c>
      <c r="D238" s="67" t="n">
        <v>0</v>
      </c>
      <c r="E238" s="40" t="s">
        <v>14</v>
      </c>
      <c r="F238" s="30" t="n">
        <v>0</v>
      </c>
      <c r="G238" s="38" t="n">
        <v>0</v>
      </c>
      <c r="H238" s="38" t="n">
        <f aca="false">F238-G238</f>
        <v>0</v>
      </c>
      <c r="I238" s="68" t="n">
        <v>0</v>
      </c>
    </row>
    <row r="239" customFormat="false" ht="25.5" hidden="false" customHeight="true" outlineLevel="0" collapsed="false">
      <c r="A239" s="37" t="n">
        <v>6</v>
      </c>
      <c r="B239" s="38" t="n">
        <v>4</v>
      </c>
      <c r="C239" s="30" t="n">
        <f aca="false">A239-B239</f>
        <v>2</v>
      </c>
      <c r="D239" s="41" t="n">
        <f aca="false">C239/B239*1</f>
        <v>0.5</v>
      </c>
      <c r="E239" s="40" t="s">
        <v>15</v>
      </c>
      <c r="F239" s="30" t="n">
        <v>43</v>
      </c>
      <c r="G239" s="38" t="n">
        <v>47</v>
      </c>
      <c r="H239" s="38" t="n">
        <f aca="false">F239-G239</f>
        <v>-4</v>
      </c>
      <c r="I239" s="79" t="n">
        <f aca="false">H239/G239</f>
        <v>-0.0851063829787234</v>
      </c>
    </row>
    <row r="240" customFormat="false" ht="25.5" hidden="false" customHeight="true" outlineLevel="0" collapsed="false">
      <c r="A240" s="37" t="n">
        <v>13</v>
      </c>
      <c r="B240" s="38" t="n">
        <v>16</v>
      </c>
      <c r="C240" s="29" t="n">
        <f aca="false">A240-B240</f>
        <v>-3</v>
      </c>
      <c r="D240" s="41" t="n">
        <f aca="false">C240/B240*1</f>
        <v>-0.1875</v>
      </c>
      <c r="E240" s="40" t="s">
        <v>16</v>
      </c>
      <c r="F240" s="30" t="n">
        <v>87</v>
      </c>
      <c r="G240" s="38" t="n">
        <v>88</v>
      </c>
      <c r="H240" s="55" t="n">
        <f aca="false">F240-G240</f>
        <v>-1</v>
      </c>
      <c r="I240" s="80" t="n">
        <f aca="false">H240/G240</f>
        <v>-0.0113636363636364</v>
      </c>
    </row>
    <row r="241" customFormat="false" ht="25.5" hidden="false" customHeight="true" outlineLevel="0" collapsed="false">
      <c r="A241" s="36" t="n">
        <f aca="false">SUM(A242:A244)</f>
        <v>65</v>
      </c>
      <c r="B241" s="36" t="n">
        <f aca="false">SUM(B242:B244)</f>
        <v>94</v>
      </c>
      <c r="C241" s="47" t="n">
        <f aca="false">C242+C247</f>
        <v>-6</v>
      </c>
      <c r="D241" s="31" t="n">
        <f aca="false">C241/B241*1</f>
        <v>-0.0638297872340426</v>
      </c>
      <c r="E241" s="27" t="s">
        <v>17</v>
      </c>
      <c r="F241" s="36" t="n">
        <f aca="false">SUM(F242:F244)</f>
        <v>796</v>
      </c>
      <c r="G241" s="36" t="n">
        <f aca="false">SUM(G242:G244)</f>
        <v>869</v>
      </c>
      <c r="H241" s="34" t="n">
        <f aca="false">SUM(H242:H245)</f>
        <v>-73</v>
      </c>
      <c r="I241" s="81" t="n">
        <f aca="false">H241/G241*1</f>
        <v>-0.0840046029919448</v>
      </c>
    </row>
    <row r="242" customFormat="false" ht="25.5" hidden="false" customHeight="true" outlineLevel="0" collapsed="false">
      <c r="A242" s="37" t="n">
        <v>24</v>
      </c>
      <c r="B242" s="38" t="n">
        <v>30</v>
      </c>
      <c r="C242" s="30" t="n">
        <f aca="false">A242-B242</f>
        <v>-6</v>
      </c>
      <c r="D242" s="41" t="n">
        <f aca="false">C242/B242*1</f>
        <v>-0.2</v>
      </c>
      <c r="E242" s="40" t="s">
        <v>18</v>
      </c>
      <c r="F242" s="30" t="n">
        <v>251</v>
      </c>
      <c r="G242" s="38" t="n">
        <v>291</v>
      </c>
      <c r="H242" s="32" t="n">
        <f aca="false">F242-G242</f>
        <v>-40</v>
      </c>
      <c r="I242" s="82" t="n">
        <f aca="false">H242/G242</f>
        <v>-0.13745704467354</v>
      </c>
    </row>
    <row r="243" customFormat="false" ht="25.5" hidden="false" customHeight="true" outlineLevel="0" collapsed="false">
      <c r="A243" s="37" t="n">
        <v>33</v>
      </c>
      <c r="B243" s="38" t="n">
        <v>52</v>
      </c>
      <c r="C243" s="37" t="n">
        <f aca="false">A243-B243</f>
        <v>-19</v>
      </c>
      <c r="D243" s="39" t="n">
        <f aca="false">C243/B243*1</f>
        <v>-0.365384615384615</v>
      </c>
      <c r="E243" s="40" t="s">
        <v>19</v>
      </c>
      <c r="F243" s="30" t="n">
        <v>467</v>
      </c>
      <c r="G243" s="38" t="n">
        <v>482</v>
      </c>
      <c r="H243" s="38" t="n">
        <f aca="false">F243-G243</f>
        <v>-15</v>
      </c>
      <c r="I243" s="79" t="n">
        <f aca="false">H243/G243</f>
        <v>-0.0311203319502075</v>
      </c>
    </row>
    <row r="244" customFormat="false" ht="25.5" hidden="false" customHeight="true" outlineLevel="0" collapsed="false">
      <c r="A244" s="45" t="n">
        <v>8</v>
      </c>
      <c r="B244" s="29" t="n">
        <v>12</v>
      </c>
      <c r="C244" s="45" t="n">
        <f aca="false">A244-B244</f>
        <v>-4</v>
      </c>
      <c r="D244" s="35" t="n">
        <f aca="false">C244/B244*1</f>
        <v>-0.333333333333333</v>
      </c>
      <c r="E244" s="46" t="s">
        <v>20</v>
      </c>
      <c r="F244" s="47" t="n">
        <v>78</v>
      </c>
      <c r="G244" s="29" t="n">
        <v>96</v>
      </c>
      <c r="H244" s="55" t="n">
        <f aca="false">F244-G244</f>
        <v>-18</v>
      </c>
      <c r="I244" s="80" t="n">
        <f aca="false">H244/G244</f>
        <v>-0.1875</v>
      </c>
    </row>
    <row r="245" customFormat="false" ht="25.5" hidden="false" customHeight="true" outlineLevel="0" collapsed="false"/>
    <row r="246" customFormat="false" ht="25.5" hidden="false" customHeight="true" outlineLevel="0" collapsed="false"/>
    <row r="247" customFormat="false" ht="25.5" hidden="false" customHeight="true" outlineLevel="0" collapsed="false"/>
    <row r="248" customFormat="false" ht="25.5" hidden="false" customHeight="true" outlineLevel="0" collapsed="false">
      <c r="A248" s="61"/>
      <c r="B248" s="2"/>
      <c r="C248" s="2"/>
      <c r="D248" s="2"/>
      <c r="E248" s="59" t="s">
        <v>33</v>
      </c>
      <c r="F248" s="2"/>
      <c r="G248" s="2"/>
      <c r="H248" s="2"/>
      <c r="I248" s="4"/>
    </row>
    <row r="249" customFormat="false" ht="25.5" hidden="false" customHeight="true" outlineLevel="0" collapsed="false">
      <c r="A249" s="5" t="s">
        <v>1</v>
      </c>
      <c r="G249" s="6" t="s">
        <v>2</v>
      </c>
      <c r="H249" s="7" t="s">
        <v>3</v>
      </c>
      <c r="I249" s="8"/>
    </row>
    <row r="250" customFormat="false" ht="25.5" hidden="false" customHeight="true" outlineLevel="0" collapsed="false">
      <c r="A250" s="9" t="str">
        <f aca="false">A3</f>
        <v>     Mes del 1 al 31 de octubre</v>
      </c>
      <c r="B250" s="10"/>
      <c r="C250" s="10"/>
      <c r="D250" s="11"/>
      <c r="E250" s="12" t="s">
        <v>2</v>
      </c>
      <c r="F250" s="13" t="str">
        <f aca="false">F3</f>
        <v>Acumulado al 31 de octubre</v>
      </c>
      <c r="G250" s="14"/>
      <c r="H250" s="14"/>
      <c r="I250" s="15"/>
    </row>
    <row r="251" customFormat="false" ht="25.5" hidden="false" customHeight="true" outlineLevel="0" collapsed="false">
      <c r="A251" s="16" t="s">
        <v>2</v>
      </c>
      <c r="B251" s="17" t="s">
        <v>2</v>
      </c>
      <c r="C251" s="18" t="s">
        <v>6</v>
      </c>
      <c r="D251" s="19"/>
      <c r="E251" s="17" t="s">
        <v>7</v>
      </c>
      <c r="F251" s="20" t="s">
        <v>2</v>
      </c>
      <c r="G251" s="17" t="s">
        <v>2</v>
      </c>
      <c r="H251" s="18" t="s">
        <v>6</v>
      </c>
      <c r="I251" s="21"/>
    </row>
    <row r="252" customFormat="false" ht="25.5" hidden="false" customHeight="true" outlineLevel="0" collapsed="false">
      <c r="A252" s="22" t="n">
        <v>2016</v>
      </c>
      <c r="B252" s="23" t="n">
        <v>2015</v>
      </c>
      <c r="C252" s="24" t="s">
        <v>8</v>
      </c>
      <c r="D252" s="25" t="s">
        <v>9</v>
      </c>
      <c r="E252" s="26"/>
      <c r="F252" s="22" t="n">
        <v>2016</v>
      </c>
      <c r="G252" s="23" t="n">
        <v>2015</v>
      </c>
      <c r="H252" s="28" t="s">
        <v>8</v>
      </c>
      <c r="I252" s="28" t="s">
        <v>9</v>
      </c>
    </row>
    <row r="253" customFormat="false" ht="26.25" hidden="false" customHeight="true" outlineLevel="0" collapsed="false">
      <c r="A253" s="45" t="n">
        <f aca="false">A254+A260</f>
        <v>3513</v>
      </c>
      <c r="B253" s="29" t="n">
        <f aca="false">B254+B260</f>
        <v>4032</v>
      </c>
      <c r="C253" s="47" t="n">
        <f aca="false">C254+C260</f>
        <v>-519</v>
      </c>
      <c r="D253" s="83" t="n">
        <f aca="false">C253/B253</f>
        <v>-0.128720238095238</v>
      </c>
      <c r="E253" s="26" t="s">
        <v>10</v>
      </c>
      <c r="F253" s="47" t="n">
        <f aca="false">F254+F260</f>
        <v>35785</v>
      </c>
      <c r="G253" s="29" t="n">
        <f aca="false">G254+G260</f>
        <v>38719</v>
      </c>
      <c r="H253" s="55" t="n">
        <f aca="false">H254+H260</f>
        <v>-3375</v>
      </c>
      <c r="I253" s="56" t="n">
        <f aca="false">H253/G253</f>
        <v>-0.087166507399468</v>
      </c>
      <c r="J253" s="84"/>
      <c r="K253" s="84"/>
      <c r="L253" s="84"/>
      <c r="M253" s="84"/>
      <c r="N253" s="84"/>
      <c r="O253" s="84"/>
      <c r="P253" s="85"/>
    </row>
    <row r="254" customFormat="false" ht="26.25" hidden="false" customHeight="true" outlineLevel="0" collapsed="false">
      <c r="A254" s="45" t="n">
        <f aca="false">SUM(A255:A259)</f>
        <v>676</v>
      </c>
      <c r="B254" s="29" t="n">
        <f aca="false">SUM(B255:B259)</f>
        <v>712</v>
      </c>
      <c r="C254" s="47" t="n">
        <f aca="false">SUM(C255:C259)</f>
        <v>-36</v>
      </c>
      <c r="D254" s="83" t="n">
        <f aca="false">C254/B254</f>
        <v>-0.050561797752809</v>
      </c>
      <c r="E254" s="26" t="s">
        <v>11</v>
      </c>
      <c r="F254" s="47" t="n">
        <f aca="false">SUM(F255:F259)</f>
        <v>6243</v>
      </c>
      <c r="G254" s="29" t="n">
        <f aca="false">SUM(G255:G259)</f>
        <v>6538</v>
      </c>
      <c r="H254" s="55" t="n">
        <f aca="false">SUM(H255:H259)</f>
        <v>-295</v>
      </c>
      <c r="I254" s="56" t="n">
        <f aca="false">H254/G254</f>
        <v>-0.0451208320587336</v>
      </c>
      <c r="J254" s="86"/>
    </row>
    <row r="255" customFormat="false" ht="25.5" hidden="false" customHeight="true" outlineLevel="0" collapsed="false">
      <c r="A255" s="37" t="n">
        <f aca="false">SUM(A8+A27+A47+A66+A85+A104+A123+A142+A161+A180+A199+A217+A236)</f>
        <v>65</v>
      </c>
      <c r="B255" s="37" t="n">
        <f aca="false">SUM(B8+B27+B47+B66+B85+B104+B123+B142+B161+B180+B199+B217+B236)</f>
        <v>61</v>
      </c>
      <c r="C255" s="32" t="n">
        <f aca="false">A255-B255</f>
        <v>4</v>
      </c>
      <c r="D255" s="87" t="n">
        <f aca="false">C255/B255</f>
        <v>0.0655737704918033</v>
      </c>
      <c r="E255" s="40" t="s">
        <v>12</v>
      </c>
      <c r="F255" s="37" t="n">
        <f aca="false">SUM(F8+F27+F47+F66+F85+F104+F123+F142+F161+F180+F199+F217+F236)</f>
        <v>554</v>
      </c>
      <c r="G255" s="37" t="n">
        <f aca="false">SUM(G8+G27+G47+G66+G85+G104+G123+G142+G161+G180+G199+G217+G236)</f>
        <v>484</v>
      </c>
      <c r="H255" s="32" t="n">
        <f aca="false">F255-G255</f>
        <v>70</v>
      </c>
      <c r="I255" s="88" t="n">
        <f aca="false">H255/G255</f>
        <v>0.144628099173554</v>
      </c>
      <c r="J255" s="74"/>
      <c r="K255" s="74"/>
      <c r="L255" s="74"/>
    </row>
    <row r="256" customFormat="false" ht="26.25" hidden="false" customHeight="true" outlineLevel="0" collapsed="false">
      <c r="A256" s="38" t="n">
        <f aca="false">SUM(A9+A28+A48+A67+A86+A105+A124+A143+A162+A181+A200+A218+A237)</f>
        <v>16</v>
      </c>
      <c r="B256" s="38" t="n">
        <f aca="false">SUM(B9+B28+B48+B67+B86+B105+B124+B143+B162+B181+B200+B218+B237)</f>
        <v>15</v>
      </c>
      <c r="C256" s="30" t="n">
        <f aca="false">A256-B256</f>
        <v>1</v>
      </c>
      <c r="D256" s="87" t="n">
        <f aca="false">C256/B256</f>
        <v>0.0666666666666667</v>
      </c>
      <c r="E256" s="40" t="s">
        <v>13</v>
      </c>
      <c r="F256" s="38" t="n">
        <f aca="false">SUM(F9+F28+F48+F67+F86+F105+F124+F143+F162+F181+F200+F218+F237)</f>
        <v>127</v>
      </c>
      <c r="G256" s="38" t="n">
        <f aca="false">SUM(G9+G28+G48+G67+G86+G105+G124+G143+G162+G181+G200+G218+G237)</f>
        <v>142</v>
      </c>
      <c r="H256" s="54" t="n">
        <f aca="false">F256-G256</f>
        <v>-15</v>
      </c>
      <c r="I256" s="88" t="n">
        <f aca="false">H256/G256</f>
        <v>-0.105633802816901</v>
      </c>
      <c r="J256" s="74"/>
      <c r="K256" s="74"/>
      <c r="L256" s="74"/>
    </row>
    <row r="257" customFormat="false" ht="26.25" hidden="false" customHeight="true" outlineLevel="0" collapsed="false">
      <c r="A257" s="38" t="n">
        <f aca="false">SUM(A10+A29+A49+A68+A87+A106+A125+A144+A163+A182+A201+A219+A238)</f>
        <v>1</v>
      </c>
      <c r="B257" s="38" t="n">
        <f aca="false">SUM(B10+B29+B49+B68+B87+B106+B125+B144+B163+B182+B201+B219+B238)</f>
        <v>0</v>
      </c>
      <c r="C257" s="30" t="n">
        <f aca="false">A257-B257</f>
        <v>1</v>
      </c>
      <c r="D257" s="89" t="n">
        <v>0</v>
      </c>
      <c r="E257" s="40" t="s">
        <v>14</v>
      </c>
      <c r="F257" s="38" t="n">
        <f aca="false">SUM(F10+F29+F49+F68+F87+F106+F125+F144+F163+F182+F201+F219+F238)</f>
        <v>1</v>
      </c>
      <c r="G257" s="38" t="n">
        <f aca="false">SUM(G238,G219,G201,G182,G163,G144,G125,G106,G87,G87,G68,G49,G29,G10)</f>
        <v>2</v>
      </c>
      <c r="H257" s="38" t="n">
        <f aca="false">F257-G257</f>
        <v>-1</v>
      </c>
      <c r="I257" s="39" t="n">
        <f aca="false">H257/G257*1</f>
        <v>-0.5</v>
      </c>
      <c r="J257" s="90"/>
      <c r="K257" s="90"/>
      <c r="L257" s="90"/>
    </row>
    <row r="258" customFormat="false" ht="26.25" hidden="false" customHeight="true" outlineLevel="0" collapsed="false">
      <c r="A258" s="38" t="n">
        <f aca="false">SUM(A11+A30+A50+A69+A88+A107+A126+A145+A164+A183+A202+A220+A239)</f>
        <v>269</v>
      </c>
      <c r="B258" s="38" t="n">
        <f aca="false">SUM(B11+B30+B50+B69+B88+B107+B126+B145+B164+B183+B202+B220+B239)</f>
        <v>383</v>
      </c>
      <c r="C258" s="30" t="n">
        <f aca="false">A258-B258</f>
        <v>-114</v>
      </c>
      <c r="D258" s="87" t="n">
        <f aca="false">C258/B258</f>
        <v>-0.297650130548303</v>
      </c>
      <c r="E258" s="40" t="s">
        <v>15</v>
      </c>
      <c r="F258" s="38" t="n">
        <f aca="false">SUM(F11+F30+F50+F69+F88+F107+F126+F145+F164+F183+F202+F220+F239)</f>
        <v>2633</v>
      </c>
      <c r="G258" s="38" t="n">
        <f aca="false">SUM(G11+G30+G50+G69+G88+G107+G126+G145+G164+G183+G202+G220+G239)</f>
        <v>3424</v>
      </c>
      <c r="H258" s="54" t="n">
        <f aca="false">F258-G258</f>
        <v>-791</v>
      </c>
      <c r="I258" s="88" t="n">
        <f aca="false">H258/G258</f>
        <v>-0.231016355140187</v>
      </c>
      <c r="J258" s="74"/>
      <c r="K258" s="74"/>
      <c r="L258" s="74"/>
    </row>
    <row r="259" customFormat="false" ht="25.5" hidden="false" customHeight="true" outlineLevel="0" collapsed="false">
      <c r="A259" s="29" t="n">
        <f aca="false">SUM(A12+A31+A51+A70+A89+A108+A127+A146+A165+A184+A203+A221+A240)</f>
        <v>325</v>
      </c>
      <c r="B259" s="29" t="n">
        <f aca="false">SUM(B12+B31+B51+B70+B89+B108+B127+B146+B165+B184+B203+B221+B240)</f>
        <v>253</v>
      </c>
      <c r="C259" s="30" t="n">
        <f aca="false">A259-B259</f>
        <v>72</v>
      </c>
      <c r="D259" s="87" t="n">
        <f aca="false">C259/B259</f>
        <v>0.284584980237154</v>
      </c>
      <c r="E259" s="40" t="s">
        <v>16</v>
      </c>
      <c r="F259" s="29" t="n">
        <f aca="false">SUM(F12+F31+F51+F70+F89+F108+F127+F146+F165+F184+F203+F221+F240)</f>
        <v>2928</v>
      </c>
      <c r="G259" s="29" t="n">
        <f aca="false">SUM(G12+G31+G51+G70+G89+G108+G127+G146+G165+G184+G203+G221+G240)</f>
        <v>2486</v>
      </c>
      <c r="H259" s="54" t="n">
        <f aca="false">F259-G259</f>
        <v>442</v>
      </c>
      <c r="I259" s="88" t="n">
        <f aca="false">H259/G259</f>
        <v>0.177795655671762</v>
      </c>
      <c r="J259" s="74"/>
      <c r="K259" s="74"/>
      <c r="L259" s="74"/>
    </row>
    <row r="260" customFormat="false" ht="25.5" hidden="false" customHeight="true" outlineLevel="0" collapsed="false">
      <c r="A260" s="42" t="n">
        <f aca="false">SUM(A261:A263)</f>
        <v>2837</v>
      </c>
      <c r="B260" s="36" t="n">
        <f aca="false">SUM(B261:B263)</f>
        <v>3320</v>
      </c>
      <c r="C260" s="34" t="n">
        <f aca="false">SUM(C261:C263)</f>
        <v>-483</v>
      </c>
      <c r="D260" s="91" t="n">
        <f aca="false">C260/B260</f>
        <v>-0.145481927710843</v>
      </c>
      <c r="E260" s="27" t="s">
        <v>17</v>
      </c>
      <c r="F260" s="34" t="n">
        <f aca="false">SUM(F261:F263)</f>
        <v>29542</v>
      </c>
      <c r="G260" s="36" t="n">
        <f aca="false">SUM(G261:G263)</f>
        <v>32181</v>
      </c>
      <c r="H260" s="44" t="n">
        <f aca="false">SUM(H241,H222,H204,H185,H166,H147,H128,H109,H90,H71,H52,H32,H13)</f>
        <v>-3080</v>
      </c>
      <c r="I260" s="92" t="n">
        <f aca="false">H260/G260</f>
        <v>-0.0957086479599764</v>
      </c>
      <c r="J260" s="74"/>
      <c r="K260" s="74"/>
      <c r="L260" s="74"/>
    </row>
    <row r="261" customFormat="false" ht="25.5" hidden="false" customHeight="true" outlineLevel="0" collapsed="false">
      <c r="A261" s="38" t="n">
        <f aca="false">SUM(A14+A33+A53+A72+A91+A110+A129+A148+A167+A186+A205+A223+A242)</f>
        <v>705</v>
      </c>
      <c r="B261" s="38" t="n">
        <f aca="false">SUM(B14+B33+B53+B72+B91+B110+B129+B148+B167+B186+B205+B223+B242)</f>
        <v>784</v>
      </c>
      <c r="C261" s="30" t="n">
        <f aca="false">A261-B261</f>
        <v>-79</v>
      </c>
      <c r="D261" s="87" t="n">
        <f aca="false">C261/B261</f>
        <v>-0.100765306122449</v>
      </c>
      <c r="E261" s="40" t="s">
        <v>18</v>
      </c>
      <c r="F261" s="38" t="n">
        <f aca="false">SUM(F14,F33,F53,F72,F91,F110,F129,F148,F167,F186,F205,F223,F242)</f>
        <v>6900</v>
      </c>
      <c r="G261" s="38" t="n">
        <f aca="false">SUM(G14+G33+G53+G72+G91+G110+G129+G148+G167+G186+G205+G223+G242)</f>
        <v>7918</v>
      </c>
      <c r="H261" s="54" t="n">
        <f aca="false">F261-G261</f>
        <v>-1018</v>
      </c>
      <c r="I261" s="88" t="n">
        <f aca="false">H261/G261</f>
        <v>-0.128567820156605</v>
      </c>
      <c r="J261" s="90"/>
      <c r="K261" s="90"/>
      <c r="L261" s="90"/>
    </row>
    <row r="262" customFormat="false" ht="26.25" hidden="false" customHeight="true" outlineLevel="0" collapsed="false">
      <c r="A262" s="38" t="n">
        <f aca="false">SUM(A15+A34+A54+A73+A92+A111+A130+A149+A168+A187+A206+A224+A243)</f>
        <v>1826</v>
      </c>
      <c r="B262" s="38" t="n">
        <f aca="false">SUM(B15+B34+B54+B73+B92+B111+B130+B149+B168+B187+B206+B224+B243)</f>
        <v>2222</v>
      </c>
      <c r="C262" s="30" t="n">
        <f aca="false">A262-B262</f>
        <v>-396</v>
      </c>
      <c r="D262" s="87" t="n">
        <f aca="false">C262/B262</f>
        <v>-0.178217821782178</v>
      </c>
      <c r="E262" s="40" t="s">
        <v>19</v>
      </c>
      <c r="F262" s="38" t="n">
        <f aca="false">SUM(F15+F34+F54+F73+F92+F111+F130+F149+F168+F187+F206+F224+F243)</f>
        <v>19521</v>
      </c>
      <c r="G262" s="38" t="n">
        <f aca="false">SUM(G15+G34+G54+G73+G92+G111+G130+G149+G168+G187+G206+G224+G243)</f>
        <v>20836</v>
      </c>
      <c r="H262" s="54" t="n">
        <f aca="false">F262-G262</f>
        <v>-1315</v>
      </c>
      <c r="I262" s="88" t="n">
        <f aca="false">H262/G262</f>
        <v>-0.0631119216740257</v>
      </c>
      <c r="J262" s="74"/>
      <c r="K262" s="74"/>
      <c r="L262" s="74"/>
    </row>
    <row r="263" customFormat="false" ht="25.5" hidden="false" customHeight="true" outlineLevel="0" collapsed="false">
      <c r="A263" s="29" t="n">
        <f aca="false">SUM(A16+A35+A55+A74+A93+A112+A131+A150+A169+A188+A207+A225+A244)</f>
        <v>306</v>
      </c>
      <c r="B263" s="29" t="n">
        <f aca="false">SUM(B16+B35+B55+B74+B93+B112+B131+B150+B169+B188+B207+B225+B244)</f>
        <v>314</v>
      </c>
      <c r="C263" s="47" t="n">
        <f aca="false">A263-B263</f>
        <v>-8</v>
      </c>
      <c r="D263" s="83" t="n">
        <f aca="false">C263/B263</f>
        <v>-0.0254777070063694</v>
      </c>
      <c r="E263" s="46" t="s">
        <v>20</v>
      </c>
      <c r="F263" s="29" t="n">
        <f aca="false">SUM(F16+F35+F55+F74+F93+F112+F131+F150+F169+F188+F207+F225+F244)</f>
        <v>3121</v>
      </c>
      <c r="G263" s="29" t="n">
        <f aca="false">SUM(G16+G35+G55+G74+G93+G112+G131+G150+G169+G188+G207+G225+G244)</f>
        <v>3427</v>
      </c>
      <c r="H263" s="55" t="n">
        <f aca="false">F263-G263</f>
        <v>-306</v>
      </c>
      <c r="I263" s="56" t="n">
        <f aca="false">H263/G263</f>
        <v>-0.089290925007295</v>
      </c>
      <c r="J263" s="74"/>
      <c r="K263" s="74"/>
      <c r="L263" s="74"/>
    </row>
    <row r="264" customFormat="false" ht="13.5" hidden="false" customHeight="false" outlineLevel="0" collapsed="false">
      <c r="A264" s="74"/>
      <c r="B264" s="74"/>
      <c r="C264" s="74"/>
      <c r="D264" s="74"/>
      <c r="E264" s="74"/>
      <c r="F264" s="74"/>
      <c r="G264" s="74"/>
      <c r="H264" s="74"/>
      <c r="I264" s="74"/>
      <c r="J264" s="74"/>
      <c r="K264" s="74"/>
      <c r="L264" s="74"/>
    </row>
    <row r="265" customFormat="false" ht="12.75" hidden="false" customHeight="false" outlineLevel="0" collapsed="false">
      <c r="A265" s="90"/>
      <c r="B265" s="90"/>
      <c r="C265" s="90"/>
      <c r="D265" s="90"/>
      <c r="E265" s="90"/>
      <c r="F265" s="90"/>
      <c r="G265" s="90"/>
      <c r="H265" s="90"/>
      <c r="I265" s="90"/>
      <c r="J265" s="90"/>
      <c r="K265" s="90"/>
      <c r="L265" s="90"/>
    </row>
    <row r="266" customFormat="false" ht="12.75" hidden="false" customHeight="false" outlineLevel="0" collapsed="false">
      <c r="A266" s="74"/>
      <c r="B266" s="74"/>
      <c r="C266" s="74"/>
      <c r="D266" s="74"/>
      <c r="E266" s="74"/>
      <c r="F266" s="74"/>
      <c r="G266" s="74"/>
      <c r="H266" s="74"/>
      <c r="I266" s="74"/>
      <c r="J266" s="74"/>
      <c r="K266" s="74"/>
      <c r="L266" s="74"/>
    </row>
    <row r="267" customFormat="false" ht="12.75" hidden="false" customHeight="false" outlineLevel="0" collapsed="false">
      <c r="A267" s="74"/>
      <c r="B267" s="74"/>
      <c r="C267" s="74"/>
      <c r="D267" s="74"/>
      <c r="E267" s="74"/>
      <c r="F267" s="74"/>
      <c r="G267" s="74"/>
      <c r="H267" s="74"/>
      <c r="I267" s="74"/>
      <c r="J267" s="74"/>
      <c r="K267" s="74"/>
      <c r="L267" s="74"/>
    </row>
    <row r="268" customFormat="false" ht="12.75" hidden="false" customHeight="false" outlineLevel="0" collapsed="false">
      <c r="A268" s="74"/>
      <c r="B268" s="74"/>
      <c r="C268" s="74"/>
      <c r="D268" s="74"/>
      <c r="E268" s="74"/>
      <c r="F268" s="74"/>
      <c r="G268" s="74"/>
      <c r="H268" s="74"/>
      <c r="I268" s="74"/>
      <c r="J268" s="74"/>
      <c r="K268" s="74"/>
      <c r="L268" s="74"/>
    </row>
    <row r="269" customFormat="false" ht="12.75" hidden="false" customHeight="false" outlineLevel="0" collapsed="false">
      <c r="A269" s="90"/>
      <c r="B269" s="90"/>
      <c r="C269" s="90"/>
      <c r="D269" s="90"/>
      <c r="E269" s="90"/>
      <c r="F269" s="90"/>
      <c r="G269" s="90"/>
      <c r="H269" s="90"/>
      <c r="I269" s="90"/>
      <c r="J269" s="90"/>
      <c r="K269" s="90"/>
      <c r="L269" s="90"/>
    </row>
    <row r="270" customFormat="false" ht="12.75" hidden="false" customHeight="false" outlineLevel="0" collapsed="false">
      <c r="A270" s="74"/>
      <c r="B270" s="74"/>
      <c r="C270" s="74"/>
      <c r="D270" s="74"/>
      <c r="E270" s="74"/>
      <c r="F270" s="74"/>
      <c r="G270" s="74"/>
      <c r="H270" s="74"/>
      <c r="I270" s="74"/>
      <c r="J270" s="74"/>
      <c r="K270" s="74"/>
      <c r="L270" s="74"/>
    </row>
    <row r="271" customFormat="false" ht="12.75" hidden="false" customHeight="false" outlineLevel="0" collapsed="false">
      <c r="A271" s="74"/>
      <c r="B271" s="74"/>
      <c r="C271" s="74"/>
      <c r="D271" s="74"/>
      <c r="E271" s="74"/>
      <c r="F271" s="74"/>
      <c r="G271" s="74"/>
      <c r="H271" s="74"/>
      <c r="I271" s="74"/>
      <c r="J271" s="74"/>
      <c r="K271" s="74"/>
      <c r="L271" s="74"/>
    </row>
    <row r="272" customFormat="false" ht="12.75" hidden="false" customHeight="false" outlineLevel="0" collapsed="false">
      <c r="A272" s="74"/>
      <c r="B272" s="74"/>
      <c r="C272" s="74"/>
      <c r="D272" s="74"/>
      <c r="E272" s="74"/>
      <c r="F272" s="74"/>
      <c r="G272" s="74"/>
      <c r="H272" s="74"/>
      <c r="I272" s="74"/>
      <c r="J272" s="74"/>
      <c r="K272" s="74"/>
      <c r="L272" s="74"/>
    </row>
    <row r="273" customFormat="false" ht="12.75" hidden="false" customHeight="false" outlineLevel="0" collapsed="false">
      <c r="A273" s="90"/>
      <c r="B273" s="90"/>
      <c r="C273" s="90"/>
      <c r="D273" s="90"/>
      <c r="E273" s="90"/>
      <c r="F273" s="90"/>
      <c r="G273" s="90"/>
      <c r="H273" s="90"/>
      <c r="I273" s="90"/>
      <c r="J273" s="90"/>
      <c r="K273" s="90"/>
      <c r="L273" s="90"/>
    </row>
    <row r="274" customFormat="false" ht="12.75" hidden="false" customHeight="false" outlineLevel="0" collapsed="false">
      <c r="A274" s="74"/>
      <c r="B274" s="74"/>
      <c r="C274" s="74"/>
      <c r="D274" s="74"/>
      <c r="E274" s="74"/>
      <c r="F274" s="74"/>
      <c r="G274" s="74"/>
      <c r="H274" s="74"/>
      <c r="I274" s="74"/>
      <c r="J274" s="74"/>
      <c r="K274" s="74"/>
      <c r="L274" s="74"/>
    </row>
    <row r="275" customFormat="false" ht="12.75" hidden="false" customHeight="false" outlineLevel="0" collapsed="false">
      <c r="A275" s="74"/>
      <c r="B275" s="74"/>
      <c r="C275" s="74"/>
      <c r="D275" s="74"/>
      <c r="E275" s="74"/>
      <c r="F275" s="74"/>
      <c r="G275" s="74"/>
      <c r="H275" s="74"/>
      <c r="I275" s="74"/>
      <c r="J275" s="74"/>
      <c r="K275" s="74"/>
      <c r="L275" s="74"/>
    </row>
    <row r="276" customFormat="false" ht="12.75" hidden="false" customHeight="false" outlineLevel="0" collapsed="false">
      <c r="A276" s="74"/>
      <c r="B276" s="74"/>
      <c r="C276" s="74"/>
      <c r="D276" s="74"/>
      <c r="E276" s="74"/>
      <c r="F276" s="74"/>
      <c r="G276" s="74"/>
      <c r="H276" s="74"/>
      <c r="I276" s="74"/>
      <c r="J276" s="74"/>
      <c r="K276" s="74"/>
      <c r="L276" s="74"/>
    </row>
    <row r="277" customFormat="false" ht="12.75" hidden="false" customHeight="false" outlineLevel="0" collapsed="false">
      <c r="A277" s="90"/>
      <c r="B277" s="90"/>
      <c r="C277" s="90"/>
      <c r="D277" s="90"/>
      <c r="E277" s="90"/>
      <c r="F277" s="90"/>
      <c r="G277" s="90"/>
      <c r="H277" s="90"/>
      <c r="I277" s="90"/>
      <c r="J277" s="90"/>
      <c r="K277" s="90"/>
      <c r="L277" s="90"/>
    </row>
    <row r="278" customFormat="false" ht="12.75" hidden="false" customHeight="false" outlineLevel="0" collapsed="false">
      <c r="A278" s="74"/>
      <c r="B278" s="74"/>
      <c r="C278" s="74"/>
      <c r="D278" s="74"/>
      <c r="E278" s="74"/>
      <c r="F278" s="74"/>
      <c r="G278" s="74"/>
      <c r="H278" s="74"/>
      <c r="I278" s="74"/>
      <c r="J278" s="74"/>
      <c r="K278" s="74"/>
      <c r="L278" s="74"/>
    </row>
    <row r="279" customFormat="false" ht="12.75" hidden="false" customHeight="false" outlineLevel="0" collapsed="false">
      <c r="A279" s="74"/>
      <c r="B279" s="74"/>
      <c r="C279" s="74"/>
      <c r="D279" s="74"/>
      <c r="E279" s="74"/>
      <c r="F279" s="74"/>
      <c r="G279" s="74"/>
      <c r="H279" s="74"/>
      <c r="I279" s="74"/>
      <c r="J279" s="74"/>
      <c r="K279" s="74"/>
      <c r="L279" s="74"/>
    </row>
    <row r="280" customFormat="false" ht="12.75" hidden="false" customHeight="false" outlineLevel="0" collapsed="false">
      <c r="A280" s="74"/>
      <c r="B280" s="74"/>
      <c r="C280" s="74"/>
      <c r="D280" s="74"/>
      <c r="E280" s="74"/>
      <c r="F280" s="74"/>
      <c r="G280" s="74"/>
      <c r="H280" s="74"/>
      <c r="I280" s="74"/>
      <c r="J280" s="74"/>
      <c r="K280" s="74"/>
      <c r="L280" s="74"/>
    </row>
    <row r="281" customFormat="false" ht="12.75" hidden="false" customHeight="false" outlineLevel="0" collapsed="false">
      <c r="A281" s="90"/>
      <c r="B281" s="90"/>
      <c r="C281" s="90"/>
      <c r="D281" s="90"/>
      <c r="E281" s="90"/>
      <c r="F281" s="90"/>
      <c r="G281" s="90"/>
      <c r="H281" s="90"/>
      <c r="I281" s="90"/>
      <c r="J281" s="90"/>
      <c r="K281" s="90"/>
      <c r="L281" s="90"/>
    </row>
    <row r="282" customFormat="false" ht="12.75" hidden="false" customHeight="false" outlineLevel="0" collapsed="false">
      <c r="A282" s="74"/>
      <c r="B282" s="74"/>
      <c r="C282" s="74"/>
      <c r="D282" s="74"/>
      <c r="E282" s="74"/>
      <c r="F282" s="74"/>
      <c r="G282" s="74"/>
      <c r="H282" s="74"/>
      <c r="I282" s="74"/>
      <c r="J282" s="74"/>
      <c r="K282" s="74"/>
      <c r="L282" s="74"/>
    </row>
    <row r="283" customFormat="false" ht="12.75" hidden="false" customHeight="false" outlineLevel="0" collapsed="false">
      <c r="A283" s="74"/>
      <c r="B283" s="74"/>
      <c r="C283" s="74"/>
      <c r="D283" s="74"/>
      <c r="E283" s="74"/>
      <c r="F283" s="74"/>
      <c r="G283" s="74"/>
      <c r="H283" s="74"/>
      <c r="I283" s="74"/>
      <c r="J283" s="74"/>
      <c r="K283" s="74"/>
      <c r="L283" s="74"/>
    </row>
    <row r="284" customFormat="false" ht="12.75" hidden="false" customHeight="false" outlineLevel="0" collapsed="false">
      <c r="A284" s="74"/>
      <c r="B284" s="74"/>
      <c r="C284" s="74"/>
      <c r="D284" s="74"/>
      <c r="E284" s="74"/>
      <c r="F284" s="74"/>
      <c r="G284" s="74"/>
      <c r="H284" s="74"/>
      <c r="I284" s="74"/>
      <c r="J284" s="74"/>
      <c r="K284" s="74"/>
      <c r="L284" s="74"/>
    </row>
    <row r="285" customFormat="false" ht="12.75" hidden="false" customHeight="false" outlineLevel="0" collapsed="false">
      <c r="A285" s="90"/>
      <c r="B285" s="90"/>
      <c r="C285" s="90"/>
      <c r="D285" s="90"/>
      <c r="E285" s="90"/>
      <c r="F285" s="90"/>
      <c r="G285" s="90"/>
      <c r="H285" s="90"/>
      <c r="I285" s="90"/>
      <c r="J285" s="90"/>
      <c r="K285" s="90"/>
      <c r="L285" s="90"/>
    </row>
    <row r="286" customFormat="false" ht="12.75" hidden="false" customHeight="false" outlineLevel="0" collapsed="false">
      <c r="A286" s="74"/>
      <c r="B286" s="74"/>
      <c r="C286" s="74"/>
      <c r="D286" s="74"/>
      <c r="E286" s="74"/>
      <c r="F286" s="74"/>
      <c r="G286" s="74"/>
      <c r="H286" s="74"/>
      <c r="I286" s="74"/>
      <c r="J286" s="74"/>
      <c r="K286" s="74"/>
      <c r="L286" s="74"/>
    </row>
    <row r="373" customFormat="false" ht="12.75" hidden="false" customHeight="false" outlineLevel="0" collapsed="false">
      <c r="A373" s="74"/>
    </row>
    <row r="499" customFormat="false" ht="14.25" hidden="false" customHeight="false" outlineLevel="0" collapsed="false">
      <c r="A499" s="86"/>
      <c r="B499" s="86"/>
      <c r="C499" s="86"/>
      <c r="D499" s="93"/>
      <c r="E499" s="94"/>
    </row>
    <row r="500" customFormat="false" ht="12.75" hidden="false" customHeight="false" outlineLevel="0" collapsed="false">
      <c r="F500" s="95"/>
    </row>
    <row r="501" customFormat="false" ht="12.75" hidden="false" customHeight="false" outlineLevel="0" collapsed="false">
      <c r="F501" s="95"/>
    </row>
    <row r="502" customFormat="false" ht="12.75" hidden="false" customHeight="false" outlineLevel="0" collapsed="false">
      <c r="F502" s="74"/>
      <c r="G502" s="74"/>
      <c r="H502" s="84"/>
      <c r="I502" s="84"/>
    </row>
    <row r="503" customFormat="false" ht="14.25" hidden="false" customHeight="false" outlineLevel="0" collapsed="false">
      <c r="F503" s="96"/>
      <c r="G503" s="97"/>
      <c r="H503" s="86"/>
      <c r="I503" s="86"/>
    </row>
    <row r="504" customFormat="false" ht="12.75" hidden="false" customHeight="false" outlineLevel="0" collapsed="false">
      <c r="F504" s="96"/>
      <c r="G504" s="97"/>
      <c r="H504" s="74"/>
      <c r="I504" s="74"/>
    </row>
    <row r="505" customFormat="false" ht="12.75" hidden="false" customHeight="false" outlineLevel="0" collapsed="false">
      <c r="F505" s="96"/>
      <c r="G505" s="97"/>
      <c r="H505" s="74"/>
      <c r="I505" s="74"/>
    </row>
    <row r="506" customFormat="false" ht="12.75" hidden="false" customHeight="false" outlineLevel="0" collapsed="false">
      <c r="F506" s="96"/>
      <c r="G506" s="97"/>
      <c r="H506" s="90"/>
      <c r="I506" s="90"/>
    </row>
    <row r="507" customFormat="false" ht="14.25" hidden="false" customHeight="false" outlineLevel="0" collapsed="false">
      <c r="F507" s="96"/>
      <c r="G507" s="97"/>
      <c r="H507" s="86"/>
      <c r="I507" s="86"/>
    </row>
    <row r="508" customFormat="false" ht="14.25" hidden="false" customHeight="false" outlineLevel="0" collapsed="false">
      <c r="F508" s="96"/>
      <c r="G508" s="97"/>
      <c r="H508" s="86"/>
      <c r="I508" s="86"/>
    </row>
    <row r="509" customFormat="false" ht="12.75" hidden="false" customHeight="false" outlineLevel="0" collapsed="false">
      <c r="F509" s="96"/>
      <c r="G509" s="97"/>
      <c r="H509" s="74"/>
      <c r="I509" s="74"/>
    </row>
    <row r="510" customFormat="false" ht="12.75" hidden="false" customHeight="false" outlineLevel="0" collapsed="false">
      <c r="F510" s="96"/>
      <c r="G510" s="97"/>
      <c r="H510" s="90"/>
      <c r="I510" s="90"/>
    </row>
    <row r="511" customFormat="false" ht="14.25" hidden="false" customHeight="false" outlineLevel="0" collapsed="false">
      <c r="F511" s="96"/>
      <c r="G511" s="97"/>
      <c r="H511" s="86"/>
      <c r="I511" s="86"/>
    </row>
    <row r="512" customFormat="false" ht="14.25" hidden="false" customHeight="false" outlineLevel="0" collapsed="false">
      <c r="F512" s="96"/>
      <c r="G512" s="97"/>
      <c r="H512" s="86"/>
      <c r="I512" s="86"/>
    </row>
    <row r="513" customFormat="false" ht="12.75" hidden="false" customHeight="false" outlineLevel="0" collapsed="false">
      <c r="F513" s="96"/>
      <c r="G513" s="97"/>
      <c r="H513" s="74"/>
      <c r="I513" s="74"/>
    </row>
    <row r="514" customFormat="false" ht="12.75" hidden="false" customHeight="false" outlineLevel="0" collapsed="false">
      <c r="F514" s="96"/>
      <c r="G514" s="97"/>
      <c r="H514" s="90"/>
      <c r="I514" s="90"/>
    </row>
    <row r="515" customFormat="false" ht="14.25" hidden="false" customHeight="false" outlineLevel="0" collapsed="false">
      <c r="F515" s="96"/>
      <c r="G515" s="97"/>
      <c r="H515" s="86"/>
      <c r="I515" s="86"/>
    </row>
    <row r="516" customFormat="false" ht="14.25" hidden="false" customHeight="false" outlineLevel="0" collapsed="false">
      <c r="F516" s="96"/>
      <c r="G516" s="97"/>
      <c r="H516" s="86"/>
      <c r="I516" s="86"/>
    </row>
    <row r="517" customFormat="false" ht="12.75" hidden="false" customHeight="false" outlineLevel="0" collapsed="false">
      <c r="F517" s="96"/>
      <c r="G517" s="97"/>
      <c r="H517" s="74"/>
      <c r="I517" s="74"/>
    </row>
    <row r="518" customFormat="false" ht="12.75" hidden="false" customHeight="false" outlineLevel="0" collapsed="false">
      <c r="F518" s="96"/>
      <c r="G518" s="97"/>
      <c r="H518" s="90"/>
      <c r="I518" s="90"/>
    </row>
    <row r="519" customFormat="false" ht="14.25" hidden="false" customHeight="false" outlineLevel="0" collapsed="false">
      <c r="F519" s="96"/>
      <c r="G519" s="97"/>
      <c r="H519" s="86"/>
      <c r="I519" s="86"/>
    </row>
    <row r="520" customFormat="false" ht="14.25" hidden="false" customHeight="false" outlineLevel="0" collapsed="false">
      <c r="F520" s="96"/>
      <c r="G520" s="97"/>
      <c r="H520" s="86"/>
      <c r="I520" s="86"/>
    </row>
    <row r="521" customFormat="false" ht="12.75" hidden="false" customHeight="false" outlineLevel="0" collapsed="false">
      <c r="F521" s="96"/>
      <c r="G521" s="97"/>
      <c r="H521" s="74"/>
      <c r="I521" s="74"/>
    </row>
    <row r="522" customFormat="false" ht="12.75" hidden="false" customHeight="false" outlineLevel="0" collapsed="false">
      <c r="F522" s="96"/>
      <c r="G522" s="97"/>
      <c r="H522" s="90"/>
      <c r="I522" s="90"/>
    </row>
    <row r="523" customFormat="false" ht="14.25" hidden="false" customHeight="false" outlineLevel="0" collapsed="false">
      <c r="F523" s="96"/>
      <c r="G523" s="97"/>
      <c r="H523" s="86"/>
      <c r="I523" s="86"/>
    </row>
    <row r="524" customFormat="false" ht="14.25" hidden="false" customHeight="false" outlineLevel="0" collapsed="false">
      <c r="F524" s="96"/>
      <c r="G524" s="97"/>
      <c r="H524" s="86"/>
      <c r="I524" s="86"/>
    </row>
    <row r="525" customFormat="false" ht="12.75" hidden="false" customHeight="false" outlineLevel="0" collapsed="false">
      <c r="F525" s="96"/>
      <c r="G525" s="97"/>
      <c r="H525" s="74"/>
      <c r="I525" s="74"/>
    </row>
    <row r="526" customFormat="false" ht="12.75" hidden="false" customHeight="false" outlineLevel="0" collapsed="false">
      <c r="F526" s="96"/>
      <c r="G526" s="97"/>
      <c r="H526" s="90"/>
      <c r="I526" s="90"/>
    </row>
    <row r="527" customFormat="false" ht="14.25" hidden="false" customHeight="false" outlineLevel="0" collapsed="false">
      <c r="F527" s="96"/>
      <c r="G527" s="97"/>
      <c r="H527" s="86"/>
      <c r="I527" s="86"/>
    </row>
    <row r="528" customFormat="false" ht="14.25" hidden="false" customHeight="false" outlineLevel="0" collapsed="false">
      <c r="F528" s="96"/>
      <c r="G528" s="97"/>
      <c r="H528" s="86"/>
      <c r="I528" s="86"/>
    </row>
    <row r="529" customFormat="false" ht="12.75" hidden="false" customHeight="false" outlineLevel="0" collapsed="false">
      <c r="F529" s="96"/>
      <c r="G529" s="97"/>
      <c r="H529" s="74"/>
      <c r="I529" s="74"/>
    </row>
    <row r="530" customFormat="false" ht="12.75" hidden="false" customHeight="false" outlineLevel="0" collapsed="false">
      <c r="F530" s="96"/>
      <c r="G530" s="97"/>
      <c r="H530" s="90"/>
      <c r="I530" s="90"/>
    </row>
    <row r="531" customFormat="false" ht="14.25" hidden="false" customHeight="false" outlineLevel="0" collapsed="false">
      <c r="F531" s="96"/>
      <c r="G531" s="97"/>
      <c r="H531" s="86"/>
      <c r="I531" s="86"/>
    </row>
    <row r="532" customFormat="false" ht="14.25" hidden="false" customHeight="false" outlineLevel="0" collapsed="false">
      <c r="F532" s="96"/>
      <c r="G532" s="97"/>
      <c r="H532" s="86"/>
      <c r="I532" s="86"/>
    </row>
    <row r="533" customFormat="false" ht="12.75" hidden="false" customHeight="false" outlineLevel="0" collapsed="false">
      <c r="F533" s="96"/>
      <c r="G533" s="97"/>
      <c r="H533" s="74"/>
      <c r="I533" s="74"/>
    </row>
    <row r="534" customFormat="false" ht="12.75" hidden="false" customHeight="false" outlineLevel="0" collapsed="false">
      <c r="F534" s="96"/>
      <c r="G534" s="97"/>
      <c r="H534" s="90"/>
      <c r="I534" s="90"/>
    </row>
    <row r="535" customFormat="false" ht="12.75" hidden="false" customHeight="false" outlineLevel="0" collapsed="false">
      <c r="F535" s="74"/>
      <c r="G535" s="74"/>
      <c r="H535" s="74"/>
      <c r="I535" s="74"/>
    </row>
  </sheetData>
  <printOptions headings="false" gridLines="false" gridLinesSet="true" horizontalCentered="false" verticalCentered="false"/>
  <pageMargins left="0.470138888888889" right="0.329861111111111" top="1.60972222222222" bottom="0.370138888888889" header="0.511811023622047" footer="0.511811023622047"/>
  <pageSetup paperSize="1" scale="93" fitToWidth="1" fitToHeight="1" pageOrder="downThenOver" orientation="landscape" blackAndWhite="false" draft="false" cellComments="none" horizontalDpi="300" verticalDpi="300" copies="1"/>
  <headerFooter differentFirst="false" differentOddEven="false">
    <oddHeader/>
    <oddFooter/>
  </headerFooter>
  <rowBreaks count="13" manualBreakCount="13">
    <brk id="18" man="true" max="16383" min="0"/>
    <brk id="37" man="true" max="16383" min="0"/>
    <brk id="55" man="true" max="16383" min="0"/>
    <brk id="75" man="true" max="16383" min="0"/>
    <brk id="95" man="true" max="16383" min="0"/>
    <brk id="115" man="true" max="16383" min="0"/>
    <brk id="134" man="true" max="16383" min="0"/>
    <brk id="153" man="true" max="16383" min="0"/>
    <brk id="172" man="true" max="16383" min="0"/>
    <brk id="191" man="true" max="16383" min="0"/>
    <brk id="209" man="true" max="16383" min="0"/>
    <brk id="228" man="true" max="16383" min="0"/>
    <brk id="245" man="true" max="16383" min="0"/>
  </rowBreaks>
  <colBreaks count="1" manualBreakCount="1">
    <brk id="9" man="true" max="65535" min="0"/>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536"/>
  <sheetViews>
    <sheetView showFormulas="false" showGridLines="true" showRowColHeaders="true" showZeros="true" rightToLeft="false" tabSelected="false" showOutlineSymbols="true" defaultGridColor="true" view="pageBreakPreview" topLeftCell="A1" colorId="64" zoomScale="65" zoomScaleNormal="100" zoomScalePageLayoutView="65" workbookViewId="0">
      <selection pane="topLeft" activeCell="G5" activeCellId="0" sqref="G5"/>
    </sheetView>
  </sheetViews>
  <sheetFormatPr defaultColWidth="8.6796875" defaultRowHeight="12.75" zeroHeight="false" outlineLevelRow="0" outlineLevelCol="0"/>
  <cols>
    <col collapsed="false" customWidth="true" hidden="false" outlineLevel="0" max="1" min="1" style="0" width="13.29"/>
    <col collapsed="false" customWidth="true" hidden="false" outlineLevel="0" max="3" min="3" style="0" width="10.14"/>
    <col collapsed="false" customWidth="true" hidden="false" outlineLevel="0" max="4" min="4" style="0" width="11.29"/>
    <col collapsed="false" customWidth="true" hidden="false" outlineLevel="0" max="5" min="5" style="0" width="12.29"/>
    <col collapsed="false" customWidth="true" hidden="false" outlineLevel="0" max="12" min="12" style="0" width="12.42"/>
  </cols>
  <sheetData>
    <row r="1" customFormat="false" ht="12.75" hidden="false" customHeight="false" outlineLevel="0" collapsed="false">
      <c r="A1" s="98" t="s">
        <v>34</v>
      </c>
      <c r="B1" s="98"/>
      <c r="C1" s="98"/>
      <c r="D1" s="98"/>
      <c r="E1" s="98"/>
      <c r="F1" s="98"/>
      <c r="G1" s="98"/>
      <c r="H1" s="98"/>
      <c r="I1" s="98"/>
      <c r="J1" s="98"/>
      <c r="K1" s="98"/>
      <c r="L1" s="98"/>
      <c r="M1" s="98"/>
      <c r="N1" s="98"/>
      <c r="O1" s="98"/>
      <c r="P1" s="98"/>
      <c r="Q1" s="98"/>
      <c r="R1" s="98"/>
      <c r="S1" s="98"/>
    </row>
    <row r="2" customFormat="false" ht="12.75" hidden="false" customHeight="false" outlineLevel="0" collapsed="false">
      <c r="A2" s="98" t="s">
        <v>35</v>
      </c>
      <c r="B2" s="98"/>
      <c r="C2" s="98"/>
      <c r="D2" s="98"/>
      <c r="E2" s="98"/>
      <c r="F2" s="98"/>
      <c r="G2" s="98"/>
      <c r="H2" s="98"/>
      <c r="I2" s="98"/>
      <c r="J2" s="98"/>
      <c r="K2" s="98"/>
      <c r="L2" s="98"/>
      <c r="M2" s="98"/>
      <c r="N2" s="98"/>
      <c r="O2" s="98"/>
      <c r="P2" s="98"/>
      <c r="Q2" s="98"/>
      <c r="R2" s="98"/>
      <c r="S2" s="98"/>
    </row>
    <row r="3" customFormat="false" ht="12.75" hidden="false" customHeight="false" outlineLevel="0" collapsed="false">
      <c r="A3" s="98" t="s">
        <v>36</v>
      </c>
      <c r="B3" s="98"/>
      <c r="C3" s="98"/>
      <c r="D3" s="98"/>
      <c r="E3" s="98"/>
      <c r="F3" s="98"/>
      <c r="G3" s="98"/>
      <c r="H3" s="98"/>
      <c r="I3" s="98"/>
      <c r="J3" s="98"/>
      <c r="K3" s="98"/>
      <c r="L3" s="98"/>
      <c r="M3" s="98"/>
      <c r="N3" s="98"/>
      <c r="O3" s="98"/>
      <c r="P3" s="98"/>
      <c r="Q3" s="98"/>
      <c r="R3" s="98"/>
      <c r="S3" s="98"/>
    </row>
    <row r="4" customFormat="false" ht="12.75" hidden="false" customHeight="true" outlineLevel="0" collapsed="false">
      <c r="A4" s="99" t="s">
        <v>37</v>
      </c>
      <c r="B4" s="99"/>
      <c r="C4" s="99"/>
      <c r="D4" s="99"/>
      <c r="E4" s="99"/>
      <c r="F4" s="6"/>
    </row>
    <row r="5" customFormat="false" ht="12.75" hidden="false" customHeight="true" outlineLevel="0" collapsed="false">
      <c r="A5" s="100"/>
      <c r="B5" s="6"/>
      <c r="C5" s="6"/>
      <c r="D5" s="6"/>
      <c r="E5" s="6"/>
      <c r="F5" s="6"/>
    </row>
    <row r="6" customFormat="false" ht="13.5" hidden="false" customHeight="false" outlineLevel="0" collapsed="false">
      <c r="A6" s="101"/>
      <c r="B6" s="102"/>
      <c r="C6" s="103" t="s">
        <v>38</v>
      </c>
      <c r="D6" s="104" t="s">
        <v>39</v>
      </c>
      <c r="E6" s="103" t="s">
        <v>40</v>
      </c>
      <c r="F6" s="104" t="s">
        <v>41</v>
      </c>
      <c r="G6" s="103" t="s">
        <v>42</v>
      </c>
      <c r="H6" s="104" t="s">
        <v>43</v>
      </c>
      <c r="I6" s="103" t="s">
        <v>44</v>
      </c>
      <c r="J6" s="104" t="s">
        <v>45</v>
      </c>
      <c r="K6" s="103" t="s">
        <v>46</v>
      </c>
      <c r="L6" s="104" t="s">
        <v>47</v>
      </c>
      <c r="M6" s="103" t="s">
        <v>48</v>
      </c>
      <c r="N6" s="103" t="s">
        <v>49</v>
      </c>
      <c r="O6" s="104" t="s">
        <v>50</v>
      </c>
      <c r="P6" s="105"/>
      <c r="Q6" s="105"/>
      <c r="R6" s="105"/>
      <c r="S6" s="105" t="s">
        <v>51</v>
      </c>
    </row>
    <row r="7" customFormat="false" ht="12.75" hidden="false" customHeight="false" outlineLevel="0" collapsed="false">
      <c r="A7" s="106"/>
      <c r="B7" s="107" t="n">
        <v>2016</v>
      </c>
      <c r="C7" s="108" t="n">
        <f aca="false">C11+C15+C19+C23+C27+C31+C35+C39</f>
        <v>6773</v>
      </c>
      <c r="D7" s="108" t="n">
        <f aca="false">D11+D15+D19+D23+D27+D31+D35+D39</f>
        <v>2875</v>
      </c>
      <c r="E7" s="108" t="n">
        <f aca="false">E11+E15+E19+E23+E27+E31+E35+E39</f>
        <v>3006</v>
      </c>
      <c r="F7" s="108" t="n">
        <f aca="false">F11+F15+F19+F23+F27+F31+F35+F39</f>
        <v>1171</v>
      </c>
      <c r="G7" s="108" t="n">
        <f aca="false">G11+G15+G19+G23+G27+G31+G35+G39</f>
        <v>1856</v>
      </c>
      <c r="H7" s="108" t="n">
        <f aca="false">H11+H15+H19+H23+H27+H31+H35+H39</f>
        <v>2998</v>
      </c>
      <c r="I7" s="108" t="n">
        <f aca="false">I11+I15+I19+I23+I27+I31+I35+I39</f>
        <v>8081</v>
      </c>
      <c r="J7" s="108" t="n">
        <f aca="false">J11+J15+J19+J23+J27+J31+J35+J39</f>
        <v>3452</v>
      </c>
      <c r="K7" s="108" t="n">
        <f aca="false">K11+K15+K19+K23+K27+K31+K35+K39</f>
        <v>1407</v>
      </c>
      <c r="L7" s="108" t="n">
        <f aca="false">L11+L15+L19+L23+L27+L31+L35+L39</f>
        <v>1521</v>
      </c>
      <c r="M7" s="108" t="n">
        <f aca="false">M11+M15+M19+M23+M27+M31+M35+M39</f>
        <v>541</v>
      </c>
      <c r="N7" s="108" t="n">
        <f aca="false">N11+N15+N19+N23+N27+N31+N35+N39</f>
        <v>1161</v>
      </c>
      <c r="O7" s="108" t="n">
        <f aca="false">O11+O15+O19+O23+O27+O31+O35+O39</f>
        <v>943</v>
      </c>
      <c r="P7" s="109"/>
      <c r="Q7" s="109"/>
      <c r="R7" s="109"/>
      <c r="S7" s="110" t="n">
        <f aca="false">C7+D7+E7+F7+G7+H7+I7+J7+K7+L7+M7+N7+O7</f>
        <v>35785</v>
      </c>
    </row>
    <row r="8" customFormat="false" ht="12.75" hidden="false" customHeight="false" outlineLevel="0" collapsed="false">
      <c r="A8" s="111" t="s">
        <v>52</v>
      </c>
      <c r="B8" s="107" t="n">
        <v>2015</v>
      </c>
      <c r="C8" s="108" t="n">
        <f aca="false">C12+C16+C20+C24+C28+C32+C36+C40</f>
        <v>6942</v>
      </c>
      <c r="D8" s="108" t="n">
        <f aca="false">D12+D16+D20+D24+D28+D32+D36+D40</f>
        <v>3368</v>
      </c>
      <c r="E8" s="108" t="n">
        <f aca="false">E12+E16+E20+E24+E28+E32+E36+E40</f>
        <v>3138</v>
      </c>
      <c r="F8" s="108" t="n">
        <f aca="false">F12+F16+F20+F24+F28+F32+F36+F40</f>
        <v>1358</v>
      </c>
      <c r="G8" s="108" t="n">
        <f aca="false">G12+G16+G20+G24+G28+G32+G36+G40</f>
        <v>2016</v>
      </c>
      <c r="H8" s="108" t="n">
        <f aca="false">H12+H16+H20+H24+H28+H32+H36+H40</f>
        <v>3306</v>
      </c>
      <c r="I8" s="108" t="n">
        <f aca="false">I12+I16+I20+I24+I28+I32+I36+I40</f>
        <v>8975</v>
      </c>
      <c r="J8" s="108" t="n">
        <f aca="false">J12+J16+J20+J24+J28+J32+J36+J40</f>
        <v>3731</v>
      </c>
      <c r="K8" s="108" t="n">
        <f aca="false">K12+K16+K20+K24+K28+K32+K36+K40</f>
        <v>1423</v>
      </c>
      <c r="L8" s="108" t="n">
        <f aca="false">L12+L16+L20+L24+L28+L32+L36+L40</f>
        <v>1671</v>
      </c>
      <c r="M8" s="108" t="n">
        <f aca="false">M12+M16+M20+M24+M28+M32+M36+M40</f>
        <v>563</v>
      </c>
      <c r="N8" s="108" t="n">
        <f aca="false">N12+N16+N20+N24+N28+N32+N36+N40</f>
        <v>1208</v>
      </c>
      <c r="O8" s="108" t="n">
        <f aca="false">O12+O16+O20+O24+O28+O32+O36+O40</f>
        <v>1020</v>
      </c>
      <c r="P8" s="109"/>
      <c r="Q8" s="109"/>
      <c r="R8" s="109"/>
      <c r="S8" s="110" t="n">
        <f aca="false">C8+D8+E8+F8+G8+H8+I8+J8+K8+L8+M8+N8+O8</f>
        <v>38719</v>
      </c>
    </row>
    <row r="9" customFormat="false" ht="12.75" hidden="false" customHeight="false" outlineLevel="0" collapsed="false">
      <c r="A9" s="106"/>
      <c r="B9" s="112" t="s">
        <v>53</v>
      </c>
      <c r="C9" s="110" t="n">
        <f aca="false">S47</f>
        <v>-169</v>
      </c>
      <c r="D9" s="110" t="n">
        <f aca="false">S85</f>
        <v>-493</v>
      </c>
      <c r="E9" s="110" t="n">
        <f aca="false">S123</f>
        <v>-132</v>
      </c>
      <c r="F9" s="110" t="n">
        <f aca="false">S161</f>
        <v>-187</v>
      </c>
      <c r="G9" s="110" t="n">
        <f aca="false">S199</f>
        <v>-160</v>
      </c>
      <c r="H9" s="110" t="n">
        <f aca="false">S237</f>
        <v>-308</v>
      </c>
      <c r="I9" s="110" t="n">
        <f aca="false">S275</f>
        <v>-894</v>
      </c>
      <c r="J9" s="110" t="n">
        <f aca="false">S313</f>
        <v>-279</v>
      </c>
      <c r="K9" s="110" t="n">
        <f aca="false">S351</f>
        <v>-16</v>
      </c>
      <c r="L9" s="110" t="n">
        <f aca="false">S389</f>
        <v>-150</v>
      </c>
      <c r="M9" s="110" t="n">
        <f aca="false">S427</f>
        <v>-22</v>
      </c>
      <c r="N9" s="110" t="n">
        <f aca="false">S465</f>
        <v>-47</v>
      </c>
      <c r="O9" s="108" t="n">
        <f aca="false">O7-O8</f>
        <v>-77</v>
      </c>
      <c r="P9" s="109"/>
      <c r="Q9" s="109"/>
      <c r="R9" s="109"/>
      <c r="S9" s="110" t="n">
        <f aca="false">S7-S8</f>
        <v>-2934</v>
      </c>
    </row>
    <row r="10" customFormat="false" ht="13.5" hidden="false" customHeight="false" outlineLevel="0" collapsed="false">
      <c r="A10" s="113"/>
      <c r="B10" s="114" t="s">
        <v>9</v>
      </c>
      <c r="C10" s="115" t="n">
        <f aca="false">S48</f>
        <v>-0.0243445692883895</v>
      </c>
      <c r="D10" s="115" t="n">
        <f aca="false">S86</f>
        <v>-0.146377672209026</v>
      </c>
      <c r="E10" s="115" t="n">
        <f aca="false">S124</f>
        <v>-0.0420650095602295</v>
      </c>
      <c r="F10" s="115" t="n">
        <f aca="false">S162</f>
        <v>-0.137702503681885</v>
      </c>
      <c r="G10" s="115" t="n">
        <f aca="false">S200</f>
        <v>-0.0793650793650794</v>
      </c>
      <c r="H10" s="115" t="n">
        <f aca="false">S238</f>
        <v>-0.0931639443436177</v>
      </c>
      <c r="I10" s="115" t="n">
        <f aca="false">S276</f>
        <v>-0.0996100278551532</v>
      </c>
      <c r="J10" s="115" t="n">
        <f aca="false">S314</f>
        <v>-0.0747788796569284</v>
      </c>
      <c r="K10" s="115" t="n">
        <f aca="false">S352</f>
        <v>-0.011243851018974</v>
      </c>
      <c r="L10" s="115" t="n">
        <f aca="false">S390</f>
        <v>-0.0897666068222621</v>
      </c>
      <c r="M10" s="115" t="n">
        <f aca="false">S428</f>
        <v>-0.0390763765541741</v>
      </c>
      <c r="N10" s="115" t="n">
        <f aca="false">S466</f>
        <v>-0.0389072847682119</v>
      </c>
      <c r="O10" s="116" t="n">
        <f aca="false">O9/O8</f>
        <v>-0.0754901960784314</v>
      </c>
      <c r="P10" s="117"/>
      <c r="Q10" s="117"/>
      <c r="R10" s="117"/>
      <c r="S10" s="115" t="n">
        <f aca="false">S9/S8</f>
        <v>-0.0757767504326042</v>
      </c>
    </row>
    <row r="11" customFormat="false" ht="12.75" hidden="false" customHeight="false" outlineLevel="0" collapsed="false">
      <c r="A11" s="106"/>
      <c r="B11" s="107" t="n">
        <v>2016</v>
      </c>
      <c r="C11" s="110" t="n">
        <f aca="false">S49</f>
        <v>126</v>
      </c>
      <c r="D11" s="110" t="n">
        <f aca="false">S87</f>
        <v>24</v>
      </c>
      <c r="E11" s="110" t="n">
        <f aca="false">S125</f>
        <v>70</v>
      </c>
      <c r="F11" s="110" t="n">
        <f aca="false">S163</f>
        <v>25</v>
      </c>
      <c r="G11" s="110" t="n">
        <f aca="false">S201</f>
        <v>20</v>
      </c>
      <c r="H11" s="110" t="n">
        <f aca="false">S239</f>
        <v>56</v>
      </c>
      <c r="I11" s="110" t="n">
        <f aca="false">S277</f>
        <v>82</v>
      </c>
      <c r="J11" s="110" t="n">
        <f aca="false">S315</f>
        <v>70</v>
      </c>
      <c r="K11" s="110" t="n">
        <f aca="false">S353</f>
        <v>23</v>
      </c>
      <c r="L11" s="110" t="n">
        <f aca="false">S391</f>
        <v>18</v>
      </c>
      <c r="M11" s="110" t="n">
        <f aca="false">S429</f>
        <v>3</v>
      </c>
      <c r="N11" s="110" t="n">
        <f aca="false">S467</f>
        <v>22</v>
      </c>
      <c r="O11" s="108" t="n">
        <f aca="false">S505</f>
        <v>15</v>
      </c>
      <c r="P11" s="109"/>
      <c r="Q11" s="109"/>
      <c r="R11" s="109"/>
      <c r="S11" s="110" t="n">
        <f aca="false">C11+D11+E11+F11+G11+H11+I11+J11+K11+L11+M11+N11+O11</f>
        <v>554</v>
      </c>
    </row>
    <row r="12" customFormat="false" ht="12.75" hidden="false" customHeight="false" outlineLevel="0" collapsed="false">
      <c r="A12" s="118" t="s">
        <v>54</v>
      </c>
      <c r="B12" s="107" t="n">
        <v>2015</v>
      </c>
      <c r="C12" s="110" t="n">
        <f aca="false">S50</f>
        <v>84</v>
      </c>
      <c r="D12" s="110" t="n">
        <f aca="false">S88</f>
        <v>18</v>
      </c>
      <c r="E12" s="110" t="n">
        <f aca="false">S126</f>
        <v>51</v>
      </c>
      <c r="F12" s="110" t="n">
        <f aca="false">S164</f>
        <v>24</v>
      </c>
      <c r="G12" s="110" t="n">
        <f aca="false">S202</f>
        <v>14</v>
      </c>
      <c r="H12" s="110" t="n">
        <f aca="false">S240</f>
        <v>68</v>
      </c>
      <c r="I12" s="110" t="n">
        <f aca="false">S278</f>
        <v>97</v>
      </c>
      <c r="J12" s="110" t="n">
        <f aca="false">S316</f>
        <v>60</v>
      </c>
      <c r="K12" s="110" t="n">
        <f aca="false">S354</f>
        <v>22</v>
      </c>
      <c r="L12" s="110" t="n">
        <f aca="false">S392</f>
        <v>8</v>
      </c>
      <c r="M12" s="110" t="n">
        <f aca="false">S430</f>
        <v>1</v>
      </c>
      <c r="N12" s="110" t="n">
        <f aca="false">S468</f>
        <v>22</v>
      </c>
      <c r="O12" s="108" t="n">
        <f aca="false">S506</f>
        <v>15</v>
      </c>
      <c r="P12" s="109"/>
      <c r="Q12" s="109"/>
      <c r="R12" s="109"/>
      <c r="S12" s="110" t="n">
        <f aca="false">C12+D12+E12+F12+G12+H12+I12+J12+K12+L12+M12+N12+O12</f>
        <v>484</v>
      </c>
    </row>
    <row r="13" customFormat="false" ht="12.75" hidden="false" customHeight="false" outlineLevel="0" collapsed="false">
      <c r="A13" s="118" t="s">
        <v>55</v>
      </c>
      <c r="B13" s="112" t="s">
        <v>53</v>
      </c>
      <c r="C13" s="110" t="n">
        <f aca="false">S51</f>
        <v>42</v>
      </c>
      <c r="D13" s="110" t="n">
        <f aca="false">S89</f>
        <v>6</v>
      </c>
      <c r="E13" s="110" t="n">
        <f aca="false">S127</f>
        <v>19</v>
      </c>
      <c r="F13" s="110" t="n">
        <f aca="false">S165</f>
        <v>1</v>
      </c>
      <c r="G13" s="110" t="n">
        <f aca="false">S203</f>
        <v>6</v>
      </c>
      <c r="H13" s="110" t="n">
        <f aca="false">S241</f>
        <v>-12</v>
      </c>
      <c r="I13" s="110" t="n">
        <f aca="false">S279</f>
        <v>-15</v>
      </c>
      <c r="J13" s="110" t="n">
        <f aca="false">S317</f>
        <v>10</v>
      </c>
      <c r="K13" s="110" t="n">
        <f aca="false">S355</f>
        <v>1</v>
      </c>
      <c r="L13" s="110" t="n">
        <f aca="false">S393</f>
        <v>10</v>
      </c>
      <c r="M13" s="110" t="n">
        <f aca="false">S431</f>
        <v>2</v>
      </c>
      <c r="N13" s="110" t="n">
        <f aca="false">S469</f>
        <v>0</v>
      </c>
      <c r="O13" s="108" t="n">
        <f aca="false">O11-O12</f>
        <v>0</v>
      </c>
      <c r="P13" s="109"/>
      <c r="Q13" s="109"/>
      <c r="R13" s="109"/>
      <c r="S13" s="110" t="n">
        <f aca="false">S11-S12</f>
        <v>70</v>
      </c>
    </row>
    <row r="14" customFormat="false" ht="13.5" hidden="false" customHeight="false" outlineLevel="0" collapsed="false">
      <c r="A14" s="119"/>
      <c r="B14" s="114" t="s">
        <v>9</v>
      </c>
      <c r="C14" s="115" t="n">
        <f aca="false">S52</f>
        <v>0.5</v>
      </c>
      <c r="D14" s="115" t="n">
        <f aca="false">S90</f>
        <v>0.333333333333333</v>
      </c>
      <c r="E14" s="115" t="n">
        <f aca="false">S128</f>
        <v>0.372549019607843</v>
      </c>
      <c r="F14" s="115" t="n">
        <f aca="false">S166</f>
        <v>0.0416666666666667</v>
      </c>
      <c r="G14" s="115" t="n">
        <f aca="false">S204</f>
        <v>0.428571428571429</v>
      </c>
      <c r="H14" s="115" t="n">
        <f aca="false">S242</f>
        <v>-0.176470588235294</v>
      </c>
      <c r="I14" s="115" t="n">
        <f aca="false">S280</f>
        <v>-0.154639175257732</v>
      </c>
      <c r="J14" s="115" t="n">
        <f aca="false">S318</f>
        <v>0.166666666666667</v>
      </c>
      <c r="K14" s="115" t="n">
        <f aca="false">S356</f>
        <v>0.0454545454545455</v>
      </c>
      <c r="L14" s="115" t="n">
        <f aca="false">S394</f>
        <v>1.25</v>
      </c>
      <c r="M14" s="115" t="n">
        <f aca="false">S432</f>
        <v>2</v>
      </c>
      <c r="N14" s="115" t="n">
        <v>0</v>
      </c>
      <c r="O14" s="115" t="n">
        <f aca="false">S508</f>
        <v>0</v>
      </c>
      <c r="P14" s="117"/>
      <c r="Q14" s="117"/>
      <c r="R14" s="117"/>
      <c r="S14" s="115" t="n">
        <f aca="false">S13/S12</f>
        <v>0.144628099173554</v>
      </c>
    </row>
    <row r="15" customFormat="false" ht="12.75" hidden="false" customHeight="false" outlineLevel="0" collapsed="false">
      <c r="A15" s="120"/>
      <c r="B15" s="107" t="n">
        <v>2016</v>
      </c>
      <c r="C15" s="110" t="n">
        <f aca="false">S53</f>
        <v>13</v>
      </c>
      <c r="D15" s="110" t="n">
        <f aca="false">S91</f>
        <v>5</v>
      </c>
      <c r="E15" s="110" t="n">
        <f aca="false">S129</f>
        <v>16</v>
      </c>
      <c r="F15" s="110" t="n">
        <f aca="false">S167</f>
        <v>9</v>
      </c>
      <c r="G15" s="110" t="n">
        <f aca="false">S205</f>
        <v>7</v>
      </c>
      <c r="H15" s="110" t="n">
        <f aca="false">S243</f>
        <v>10</v>
      </c>
      <c r="I15" s="110" t="n">
        <f aca="false">S281</f>
        <v>33</v>
      </c>
      <c r="J15" s="110" t="n">
        <f aca="false">S319</f>
        <v>10</v>
      </c>
      <c r="K15" s="110" t="n">
        <f aca="false">S357</f>
        <v>6</v>
      </c>
      <c r="L15" s="110" t="n">
        <f aca="false">S395</f>
        <v>4</v>
      </c>
      <c r="M15" s="110" t="n">
        <f aca="false">S433</f>
        <v>3</v>
      </c>
      <c r="N15" s="110" t="n">
        <f aca="false">S471</f>
        <v>9</v>
      </c>
      <c r="O15" s="108" t="n">
        <f aca="false">S509</f>
        <v>2</v>
      </c>
      <c r="P15" s="109"/>
      <c r="Q15" s="109"/>
      <c r="R15" s="109"/>
      <c r="S15" s="110" t="n">
        <f aca="false">C15+D15+E15+F15+G15+H15+I15+J15+K15+L15+M15+N15+O15</f>
        <v>127</v>
      </c>
    </row>
    <row r="16" customFormat="false" ht="12.75" hidden="false" customHeight="false" outlineLevel="0" collapsed="false">
      <c r="A16" s="118" t="s">
        <v>56</v>
      </c>
      <c r="B16" s="107" t="n">
        <v>2015</v>
      </c>
      <c r="C16" s="110" t="n">
        <f aca="false">S54</f>
        <v>22</v>
      </c>
      <c r="D16" s="110" t="n">
        <f aca="false">S92</f>
        <v>9</v>
      </c>
      <c r="E16" s="110" t="n">
        <f aca="false">S130</f>
        <v>12</v>
      </c>
      <c r="F16" s="110" t="n">
        <f aca="false">S168</f>
        <v>7</v>
      </c>
      <c r="G16" s="110" t="n">
        <f aca="false">S206</f>
        <v>11</v>
      </c>
      <c r="H16" s="110" t="n">
        <f aca="false">S244</f>
        <v>8</v>
      </c>
      <c r="I16" s="110" t="n">
        <f aca="false">S282</f>
        <v>38</v>
      </c>
      <c r="J16" s="110" t="n">
        <f aca="false">S320</f>
        <v>9</v>
      </c>
      <c r="K16" s="110" t="n">
        <f aca="false">S358</f>
        <v>4</v>
      </c>
      <c r="L16" s="110" t="n">
        <f aca="false">S396</f>
        <v>7</v>
      </c>
      <c r="M16" s="110" t="n">
        <f aca="false">S434</f>
        <v>7</v>
      </c>
      <c r="N16" s="110" t="n">
        <f aca="false">S472</f>
        <v>7</v>
      </c>
      <c r="O16" s="108" t="n">
        <f aca="false">S510</f>
        <v>1</v>
      </c>
      <c r="P16" s="109"/>
      <c r="Q16" s="109"/>
      <c r="R16" s="109"/>
      <c r="S16" s="110" t="n">
        <f aca="false">C16+D16+E16+F16+G16+H16+I16+J16+K16+L16+M16+N16+O16</f>
        <v>142</v>
      </c>
    </row>
    <row r="17" customFormat="false" ht="12.75" hidden="false" customHeight="false" outlineLevel="0" collapsed="false">
      <c r="A17" s="118" t="s">
        <v>57</v>
      </c>
      <c r="B17" s="112" t="s">
        <v>53</v>
      </c>
      <c r="C17" s="110" t="n">
        <f aca="false">S55</f>
        <v>-9</v>
      </c>
      <c r="D17" s="110" t="n">
        <f aca="false">S93</f>
        <v>-4</v>
      </c>
      <c r="E17" s="110" t="n">
        <f aca="false">S131</f>
        <v>4</v>
      </c>
      <c r="F17" s="110" t="n">
        <f aca="false">S169</f>
        <v>2</v>
      </c>
      <c r="G17" s="110" t="n">
        <f aca="false">S207</f>
        <v>-4</v>
      </c>
      <c r="H17" s="110" t="n">
        <f aca="false">S245</f>
        <v>2</v>
      </c>
      <c r="I17" s="110" t="n">
        <f aca="false">S283</f>
        <v>-5</v>
      </c>
      <c r="J17" s="110" t="n">
        <f aca="false">S321</f>
        <v>1</v>
      </c>
      <c r="K17" s="110" t="n">
        <f aca="false">S359</f>
        <v>2</v>
      </c>
      <c r="L17" s="110" t="n">
        <f aca="false">S397</f>
        <v>-3</v>
      </c>
      <c r="M17" s="110" t="n">
        <f aca="false">S435</f>
        <v>-4</v>
      </c>
      <c r="N17" s="110" t="n">
        <f aca="false">S473</f>
        <v>2</v>
      </c>
      <c r="O17" s="108" t="n">
        <f aca="false">O15-O16</f>
        <v>1</v>
      </c>
      <c r="P17" s="109"/>
      <c r="Q17" s="109"/>
      <c r="R17" s="109"/>
      <c r="S17" s="110" t="n">
        <f aca="false">S15-S16</f>
        <v>-15</v>
      </c>
    </row>
    <row r="18" customFormat="false" ht="13.5" hidden="false" customHeight="false" outlineLevel="0" collapsed="false">
      <c r="A18" s="119"/>
      <c r="B18" s="114" t="s">
        <v>9</v>
      </c>
      <c r="C18" s="115" t="n">
        <f aca="false">S56</f>
        <v>-0.409090909090909</v>
      </c>
      <c r="D18" s="115" t="n">
        <f aca="false">S94</f>
        <v>-0.444444444444444</v>
      </c>
      <c r="E18" s="115" t="n">
        <f aca="false">S132</f>
        <v>0.333333333333333</v>
      </c>
      <c r="F18" s="115" t="n">
        <f aca="false">S170</f>
        <v>0.285714285714286</v>
      </c>
      <c r="G18" s="115" t="n">
        <f aca="false">S208</f>
        <v>-0.363636363636364</v>
      </c>
      <c r="H18" s="115" t="n">
        <f aca="false">S246</f>
        <v>0.25</v>
      </c>
      <c r="I18" s="115" t="n">
        <f aca="false">S284</f>
        <v>-0.131578947368421</v>
      </c>
      <c r="J18" s="115" t="n">
        <f aca="false">S322</f>
        <v>0.111111111111111</v>
      </c>
      <c r="K18" s="115" t="n">
        <f aca="false">S360</f>
        <v>0.5</v>
      </c>
      <c r="L18" s="115" t="n">
        <f aca="false">S398</f>
        <v>-0.428571428571429</v>
      </c>
      <c r="M18" s="115" t="n">
        <f aca="false">S436</f>
        <v>-0.571428571428571</v>
      </c>
      <c r="N18" s="115" t="n">
        <f aca="false">S474</f>
        <v>0.285714285714286</v>
      </c>
      <c r="O18" s="115" t="n">
        <f aca="false">S512</f>
        <v>1</v>
      </c>
      <c r="P18" s="117"/>
      <c r="Q18" s="117"/>
      <c r="R18" s="117"/>
      <c r="S18" s="115" t="n">
        <f aca="false">S17/S16</f>
        <v>-0.105633802816901</v>
      </c>
    </row>
    <row r="19" customFormat="false" ht="12.75" hidden="false" customHeight="false" outlineLevel="0" collapsed="false">
      <c r="A19" s="120"/>
      <c r="B19" s="107" t="n">
        <v>2016</v>
      </c>
      <c r="C19" s="110" t="n">
        <f aca="false">S57</f>
        <v>0</v>
      </c>
      <c r="D19" s="110" t="n">
        <f aca="false">S95</f>
        <v>0</v>
      </c>
      <c r="E19" s="110" t="n">
        <f aca="false">S133</f>
        <v>1</v>
      </c>
      <c r="F19" s="110" t="n">
        <f aca="false">S171</f>
        <v>0</v>
      </c>
      <c r="G19" s="110" t="n">
        <f aca="false">S209</f>
        <v>0</v>
      </c>
      <c r="H19" s="110" t="n">
        <f aca="false">S247</f>
        <v>0</v>
      </c>
      <c r="I19" s="110" t="n">
        <f aca="false">S285</f>
        <v>0</v>
      </c>
      <c r="J19" s="110" t="n">
        <f aca="false">S323</f>
        <v>0</v>
      </c>
      <c r="K19" s="110" t="n">
        <f aca="false">S361</f>
        <v>0</v>
      </c>
      <c r="L19" s="110" t="n">
        <f aca="false">S399</f>
        <v>0</v>
      </c>
      <c r="M19" s="110" t="n">
        <f aca="false">S437</f>
        <v>0</v>
      </c>
      <c r="N19" s="110" t="n">
        <f aca="false">S475</f>
        <v>0</v>
      </c>
      <c r="O19" s="108" t="n">
        <f aca="false">S513</f>
        <v>0</v>
      </c>
      <c r="P19" s="109"/>
      <c r="Q19" s="109"/>
      <c r="R19" s="109"/>
      <c r="S19" s="110" t="n">
        <f aca="false">C19+D19+E19+F19+G19+H19+I19+J19+K19+L19+M19+N19+O19</f>
        <v>1</v>
      </c>
    </row>
    <row r="20" customFormat="false" ht="12.75" hidden="false" customHeight="false" outlineLevel="0" collapsed="false">
      <c r="A20" s="118" t="s">
        <v>58</v>
      </c>
      <c r="B20" s="107" t="n">
        <v>2015</v>
      </c>
      <c r="C20" s="110" t="n">
        <f aca="false">S58</f>
        <v>1</v>
      </c>
      <c r="D20" s="110" t="n">
        <f aca="false">S96</f>
        <v>0</v>
      </c>
      <c r="E20" s="110" t="n">
        <f aca="false">S134</f>
        <v>0</v>
      </c>
      <c r="F20" s="110" t="n">
        <f aca="false">S172</f>
        <v>0</v>
      </c>
      <c r="G20" s="110" t="n">
        <f aca="false">S210</f>
        <v>0</v>
      </c>
      <c r="H20" s="110" t="n">
        <f aca="false">S248</f>
        <v>1</v>
      </c>
      <c r="I20" s="110" t="n">
        <f aca="false">S286</f>
        <v>0</v>
      </c>
      <c r="J20" s="110" t="n">
        <f aca="false">S324</f>
        <v>0</v>
      </c>
      <c r="K20" s="110" t="n">
        <f aca="false">S362</f>
        <v>0</v>
      </c>
      <c r="L20" s="110" t="n">
        <f aca="false">S400</f>
        <v>0</v>
      </c>
      <c r="M20" s="110" t="n">
        <f aca="false">S438</f>
        <v>0</v>
      </c>
      <c r="N20" s="110" t="n">
        <f aca="false">S476</f>
        <v>0</v>
      </c>
      <c r="O20" s="108" t="n">
        <f aca="false">S514</f>
        <v>0</v>
      </c>
      <c r="P20" s="109"/>
      <c r="Q20" s="109"/>
      <c r="R20" s="109"/>
      <c r="S20" s="110" t="n">
        <f aca="false">C20+D20+E20+F20+G20+H20+I20+J20+K20+L20+M20+N20+O20</f>
        <v>2</v>
      </c>
    </row>
    <row r="21" customFormat="false" ht="12.75" hidden="false" customHeight="false" outlineLevel="0" collapsed="false">
      <c r="A21" s="111" t="s">
        <v>59</v>
      </c>
      <c r="B21" s="112" t="s">
        <v>53</v>
      </c>
      <c r="C21" s="121" t="n">
        <f aca="false">S59</f>
        <v>-1</v>
      </c>
      <c r="D21" s="110" t="n">
        <f aca="false">S97</f>
        <v>0</v>
      </c>
      <c r="E21" s="110" t="n">
        <f aca="false">S135</f>
        <v>1</v>
      </c>
      <c r="F21" s="110" t="n">
        <f aca="false">S173</f>
        <v>0</v>
      </c>
      <c r="G21" s="110" t="n">
        <f aca="false">S211</f>
        <v>0</v>
      </c>
      <c r="H21" s="110" t="n">
        <f aca="false">S249</f>
        <v>-1</v>
      </c>
      <c r="I21" s="121" t="n">
        <f aca="false">S287</f>
        <v>0</v>
      </c>
      <c r="J21" s="110" t="n">
        <f aca="false">S325</f>
        <v>0</v>
      </c>
      <c r="K21" s="110" t="n">
        <f aca="false">S363</f>
        <v>0</v>
      </c>
      <c r="L21" s="110" t="n">
        <f aca="false">S401</f>
        <v>0</v>
      </c>
      <c r="M21" s="110" t="n">
        <f aca="false">S439</f>
        <v>0</v>
      </c>
      <c r="N21" s="110" t="n">
        <f aca="false">S477</f>
        <v>0</v>
      </c>
      <c r="O21" s="108" t="n">
        <f aca="false">S515</f>
        <v>0</v>
      </c>
      <c r="P21" s="109"/>
      <c r="Q21" s="109"/>
      <c r="R21" s="109"/>
      <c r="S21" s="110" t="n">
        <f aca="false">S19-S20</f>
        <v>-1</v>
      </c>
    </row>
    <row r="22" customFormat="false" ht="13.5" hidden="false" customHeight="false" outlineLevel="0" collapsed="false">
      <c r="A22" s="119"/>
      <c r="B22" s="114" t="s">
        <v>9</v>
      </c>
      <c r="C22" s="115" t="n">
        <v>0</v>
      </c>
      <c r="D22" s="115" t="n">
        <f aca="false">S98</f>
        <v>0</v>
      </c>
      <c r="E22" s="115" t="n">
        <v>0</v>
      </c>
      <c r="F22" s="115" t="n">
        <f aca="false">S174</f>
        <v>0</v>
      </c>
      <c r="G22" s="115" t="n">
        <f aca="false">S212</f>
        <v>0</v>
      </c>
      <c r="H22" s="115" t="n">
        <v>0</v>
      </c>
      <c r="I22" s="115" t="n">
        <f aca="false">S288</f>
        <v>0</v>
      </c>
      <c r="J22" s="115" t="n">
        <f aca="false">S326</f>
        <v>0</v>
      </c>
      <c r="K22" s="115" t="n">
        <f aca="false">S364</f>
        <v>0</v>
      </c>
      <c r="L22" s="115" t="n">
        <f aca="false">S402</f>
        <v>0</v>
      </c>
      <c r="M22" s="115" t="n">
        <f aca="false">S440</f>
        <v>0</v>
      </c>
      <c r="N22" s="115" t="n">
        <f aca="false">S478</f>
        <v>0</v>
      </c>
      <c r="O22" s="115" t="n">
        <f aca="false">S516</f>
        <v>0</v>
      </c>
      <c r="P22" s="117"/>
      <c r="Q22" s="117"/>
      <c r="R22" s="117"/>
      <c r="S22" s="115" t="n">
        <v>0</v>
      </c>
    </row>
    <row r="23" customFormat="false" ht="12.75" hidden="false" customHeight="false" outlineLevel="0" collapsed="false">
      <c r="A23" s="120"/>
      <c r="B23" s="107" t="n">
        <v>2016</v>
      </c>
      <c r="C23" s="110" t="n">
        <f aca="false">S61</f>
        <v>676</v>
      </c>
      <c r="D23" s="110" t="n">
        <f aca="false">S99</f>
        <v>184</v>
      </c>
      <c r="E23" s="110" t="n">
        <f aca="false">S137</f>
        <v>156</v>
      </c>
      <c r="F23" s="110" t="n">
        <f aca="false">S175</f>
        <v>109</v>
      </c>
      <c r="G23" s="110" t="n">
        <f aca="false">S213</f>
        <v>103</v>
      </c>
      <c r="H23" s="110" t="n">
        <f aca="false">S251</f>
        <v>255</v>
      </c>
      <c r="I23" s="110" t="n">
        <f aca="false">S289</f>
        <v>659</v>
      </c>
      <c r="J23" s="110" t="n">
        <f aca="false">S327</f>
        <v>259</v>
      </c>
      <c r="K23" s="110" t="n">
        <f aca="false">S365</f>
        <v>73</v>
      </c>
      <c r="L23" s="110" t="n">
        <f aca="false">S403</f>
        <v>50</v>
      </c>
      <c r="M23" s="110" t="n">
        <f aca="false">S441</f>
        <v>7</v>
      </c>
      <c r="N23" s="110" t="n">
        <f aca="false">S479</f>
        <v>59</v>
      </c>
      <c r="O23" s="108" t="n">
        <f aca="false">S517</f>
        <v>43</v>
      </c>
      <c r="P23" s="109"/>
      <c r="Q23" s="109"/>
      <c r="R23" s="109"/>
      <c r="S23" s="110" t="n">
        <f aca="false">C23+D23+E23+F23+G23+H23+I23+J23+K23+L23+M23+N23+O23</f>
        <v>2633</v>
      </c>
    </row>
    <row r="24" customFormat="false" ht="12.75" hidden="false" customHeight="false" outlineLevel="0" collapsed="false">
      <c r="A24" s="118" t="s">
        <v>60</v>
      </c>
      <c r="B24" s="107" t="n">
        <v>2016</v>
      </c>
      <c r="C24" s="110" t="n">
        <f aca="false">S62</f>
        <v>897</v>
      </c>
      <c r="D24" s="110" t="n">
        <f aca="false">S100</f>
        <v>173</v>
      </c>
      <c r="E24" s="110" t="n">
        <f aca="false">S138</f>
        <v>193</v>
      </c>
      <c r="F24" s="110" t="n">
        <f aca="false">S176</f>
        <v>139</v>
      </c>
      <c r="G24" s="110" t="n">
        <f aca="false">S214</f>
        <v>99</v>
      </c>
      <c r="H24" s="110" t="n">
        <f aca="false">S252</f>
        <v>364</v>
      </c>
      <c r="I24" s="110" t="n">
        <f aca="false">S290</f>
        <v>839</v>
      </c>
      <c r="J24" s="110" t="n">
        <f aca="false">S328</f>
        <v>399</v>
      </c>
      <c r="K24" s="110" t="n">
        <f aca="false">S366</f>
        <v>96</v>
      </c>
      <c r="L24" s="110" t="n">
        <f aca="false">S404</f>
        <v>92</v>
      </c>
      <c r="M24" s="110" t="n">
        <f aca="false">S442</f>
        <v>13</v>
      </c>
      <c r="N24" s="110" t="n">
        <f aca="false">S480</f>
        <v>73</v>
      </c>
      <c r="O24" s="108" t="n">
        <f aca="false">S518</f>
        <v>47</v>
      </c>
      <c r="P24" s="109"/>
      <c r="Q24" s="109"/>
      <c r="R24" s="109"/>
      <c r="S24" s="110" t="n">
        <f aca="false">C24+D24+E24+F24+G24+H24+I24+J24+K24+L24+M24+N24+O24</f>
        <v>3424</v>
      </c>
    </row>
    <row r="25" customFormat="false" ht="12.75" hidden="false" customHeight="false" outlineLevel="0" collapsed="false">
      <c r="A25" s="120"/>
      <c r="B25" s="112" t="s">
        <v>53</v>
      </c>
      <c r="C25" s="110" t="n">
        <f aca="false">S63</f>
        <v>-221</v>
      </c>
      <c r="D25" s="110" t="n">
        <f aca="false">S101</f>
        <v>11</v>
      </c>
      <c r="E25" s="110" t="n">
        <f aca="false">S139</f>
        <v>-37</v>
      </c>
      <c r="F25" s="110" t="n">
        <f aca="false">S177</f>
        <v>-30</v>
      </c>
      <c r="G25" s="110" t="n">
        <f aca="false">S215</f>
        <v>4</v>
      </c>
      <c r="H25" s="110" t="n">
        <f aca="false">S253</f>
        <v>-109</v>
      </c>
      <c r="I25" s="121" t="n">
        <f aca="false">S291</f>
        <v>-180</v>
      </c>
      <c r="J25" s="110" t="n">
        <f aca="false">S329</f>
        <v>-140</v>
      </c>
      <c r="K25" s="110" t="n">
        <f aca="false">S367</f>
        <v>-23</v>
      </c>
      <c r="L25" s="110" t="n">
        <f aca="false">S405</f>
        <v>-42</v>
      </c>
      <c r="M25" s="110" t="n">
        <f aca="false">S443</f>
        <v>-6</v>
      </c>
      <c r="N25" s="110" t="n">
        <f aca="false">S481</f>
        <v>-14</v>
      </c>
      <c r="O25" s="108" t="n">
        <f aca="false">S519</f>
        <v>-4</v>
      </c>
      <c r="P25" s="109"/>
      <c r="Q25" s="109"/>
      <c r="R25" s="109"/>
      <c r="S25" s="110" t="n">
        <f aca="false">S23-S24</f>
        <v>-791</v>
      </c>
    </row>
    <row r="26" customFormat="false" ht="13.5" hidden="false" customHeight="false" outlineLevel="0" collapsed="false">
      <c r="A26" s="119"/>
      <c r="B26" s="114" t="s">
        <v>9</v>
      </c>
      <c r="C26" s="115" t="n">
        <f aca="false">S64</f>
        <v>-0.246376811594203</v>
      </c>
      <c r="D26" s="115" t="n">
        <f aca="false">S102</f>
        <v>0.0635838150289017</v>
      </c>
      <c r="E26" s="115" t="n">
        <f aca="false">S140</f>
        <v>-0.191709844559585</v>
      </c>
      <c r="F26" s="115" t="n">
        <f aca="false">S178</f>
        <v>-0.215827338129496</v>
      </c>
      <c r="G26" s="115" t="n">
        <f aca="false">S216</f>
        <v>0.0404040404040404</v>
      </c>
      <c r="H26" s="115" t="n">
        <f aca="false">S254</f>
        <v>-0.299450549450549</v>
      </c>
      <c r="I26" s="115" t="n">
        <f aca="false">S292</f>
        <v>-0.214541120381406</v>
      </c>
      <c r="J26" s="115" t="n">
        <f aca="false">S330</f>
        <v>-0.350877192982456</v>
      </c>
      <c r="K26" s="115" t="n">
        <f aca="false">S368</f>
        <v>-0.239583333333333</v>
      </c>
      <c r="L26" s="115" t="n">
        <f aca="false">S406</f>
        <v>-0.456521739130435</v>
      </c>
      <c r="M26" s="115" t="n">
        <f aca="false">S444</f>
        <v>-0.461538461538462</v>
      </c>
      <c r="N26" s="115" t="n">
        <f aca="false">S482</f>
        <v>-0.191780821917808</v>
      </c>
      <c r="O26" s="115" t="n">
        <f aca="false">S520</f>
        <v>-0.0851063829787234</v>
      </c>
      <c r="P26" s="117"/>
      <c r="Q26" s="117"/>
      <c r="R26" s="117"/>
      <c r="S26" s="115" t="n">
        <f aca="false">S25/S24</f>
        <v>-0.231016355140187</v>
      </c>
    </row>
    <row r="27" customFormat="false" ht="12.75" hidden="false" customHeight="false" outlineLevel="0" collapsed="false">
      <c r="A27" s="120"/>
      <c r="B27" s="107" t="n">
        <v>2016</v>
      </c>
      <c r="C27" s="110" t="n">
        <f aca="false">S65</f>
        <v>435</v>
      </c>
      <c r="D27" s="110" t="n">
        <f aca="false">S103</f>
        <v>283</v>
      </c>
      <c r="E27" s="110" t="n">
        <f aca="false">S141</f>
        <v>414</v>
      </c>
      <c r="F27" s="110" t="n">
        <f aca="false">S179</f>
        <v>101</v>
      </c>
      <c r="G27" s="110" t="n">
        <f aca="false">S217</f>
        <v>228</v>
      </c>
      <c r="H27" s="110" t="n">
        <f aca="false">S255</f>
        <v>193</v>
      </c>
      <c r="I27" s="110" t="n">
        <f aca="false">S293</f>
        <v>341</v>
      </c>
      <c r="J27" s="110" t="n">
        <f aca="false">S331</f>
        <v>255</v>
      </c>
      <c r="K27" s="110" t="n">
        <f aca="false">S369</f>
        <v>192</v>
      </c>
      <c r="L27" s="110" t="n">
        <f aca="false">S407</f>
        <v>158</v>
      </c>
      <c r="M27" s="122" t="n">
        <f aca="false">S445</f>
        <v>93</v>
      </c>
      <c r="N27" s="110" t="n">
        <f aca="false">S483</f>
        <v>148</v>
      </c>
      <c r="O27" s="108" t="n">
        <f aca="false">S521</f>
        <v>87</v>
      </c>
      <c r="P27" s="109"/>
      <c r="Q27" s="109"/>
      <c r="R27" s="109"/>
      <c r="S27" s="110" t="n">
        <f aca="false">C27+D27+E27+F27+G27+H27+I27+J27+K27+L27+M27+N27+O27</f>
        <v>2928</v>
      </c>
    </row>
    <row r="28" customFormat="false" ht="12.75" hidden="false" customHeight="false" outlineLevel="0" collapsed="false">
      <c r="A28" s="118" t="s">
        <v>61</v>
      </c>
      <c r="B28" s="107" t="n">
        <v>2015</v>
      </c>
      <c r="C28" s="110" t="n">
        <f aca="false">S66</f>
        <v>380</v>
      </c>
      <c r="D28" s="110" t="n">
        <f aca="false">S104</f>
        <v>107</v>
      </c>
      <c r="E28" s="110" t="n">
        <f aca="false">S142</f>
        <v>378</v>
      </c>
      <c r="F28" s="110" t="n">
        <f aca="false">S180</f>
        <v>84</v>
      </c>
      <c r="G28" s="110" t="n">
        <f aca="false">S218</f>
        <v>200</v>
      </c>
      <c r="H28" s="110" t="n">
        <f aca="false">S256</f>
        <v>216</v>
      </c>
      <c r="I28" s="110" t="n">
        <f aca="false">S294</f>
        <v>250</v>
      </c>
      <c r="J28" s="110" t="n">
        <f aca="false">S332</f>
        <v>249</v>
      </c>
      <c r="K28" s="110" t="n">
        <f aca="false">S370</f>
        <v>206</v>
      </c>
      <c r="L28" s="110" t="n">
        <f aca="false">S408</f>
        <v>105</v>
      </c>
      <c r="M28" s="110" t="n">
        <f aca="false">S446</f>
        <v>72</v>
      </c>
      <c r="N28" s="110" t="n">
        <f aca="false">S484</f>
        <v>151</v>
      </c>
      <c r="O28" s="108" t="n">
        <f aca="false">S522</f>
        <v>88</v>
      </c>
      <c r="P28" s="109"/>
      <c r="Q28" s="109"/>
      <c r="R28" s="109"/>
      <c r="S28" s="110" t="n">
        <f aca="false">C28+D28+E28+F28+G28+H28+I28+J28+K28+L28+M28+N28+O28</f>
        <v>2486</v>
      </c>
    </row>
    <row r="29" customFormat="false" ht="12.75" hidden="false" customHeight="false" outlineLevel="0" collapsed="false">
      <c r="A29" s="118" t="s">
        <v>62</v>
      </c>
      <c r="B29" s="112" t="s">
        <v>53</v>
      </c>
      <c r="C29" s="110" t="n">
        <f aca="false">S67</f>
        <v>55</v>
      </c>
      <c r="D29" s="110" t="n">
        <f aca="false">S105</f>
        <v>176</v>
      </c>
      <c r="E29" s="110" t="n">
        <f aca="false">S143</f>
        <v>36</v>
      </c>
      <c r="F29" s="110" t="n">
        <f aca="false">S181</f>
        <v>17</v>
      </c>
      <c r="G29" s="110" t="n">
        <f aca="false">S219</f>
        <v>28</v>
      </c>
      <c r="H29" s="110" t="n">
        <f aca="false">S257</f>
        <v>-23</v>
      </c>
      <c r="I29" s="121" t="n">
        <f aca="false">S295</f>
        <v>91</v>
      </c>
      <c r="J29" s="110" t="n">
        <f aca="false">S333</f>
        <v>6</v>
      </c>
      <c r="K29" s="110" t="n">
        <f aca="false">S371</f>
        <v>-14</v>
      </c>
      <c r="L29" s="110" t="n">
        <f aca="false">S409</f>
        <v>53</v>
      </c>
      <c r="M29" s="110" t="n">
        <f aca="false">S447</f>
        <v>21</v>
      </c>
      <c r="N29" s="110" t="n">
        <f aca="false">S485</f>
        <v>-3</v>
      </c>
      <c r="O29" s="108" t="n">
        <f aca="false">S523</f>
        <v>-1</v>
      </c>
      <c r="P29" s="109"/>
      <c r="Q29" s="109"/>
      <c r="R29" s="109"/>
      <c r="S29" s="110" t="n">
        <f aca="false">S27-S28</f>
        <v>442</v>
      </c>
    </row>
    <row r="30" customFormat="false" ht="13.5" hidden="false" customHeight="false" outlineLevel="0" collapsed="false">
      <c r="A30" s="119"/>
      <c r="B30" s="114" t="s">
        <v>9</v>
      </c>
      <c r="C30" s="115" t="n">
        <f aca="false">S68</f>
        <v>0.144736842105263</v>
      </c>
      <c r="D30" s="115" t="n">
        <f aca="false">S106</f>
        <v>1.64485981308411</v>
      </c>
      <c r="E30" s="115" t="n">
        <f aca="false">S144</f>
        <v>0.0952380952380952</v>
      </c>
      <c r="F30" s="115" t="n">
        <f aca="false">S182</f>
        <v>0.202380952380952</v>
      </c>
      <c r="G30" s="115" t="n">
        <f aca="false">S220</f>
        <v>0.14</v>
      </c>
      <c r="H30" s="115" t="n">
        <f aca="false">S258</f>
        <v>-0.106481481481481</v>
      </c>
      <c r="I30" s="115" t="n">
        <f aca="false">S296</f>
        <v>0.364</v>
      </c>
      <c r="J30" s="115" t="n">
        <f aca="false">S334</f>
        <v>0.0240963855421687</v>
      </c>
      <c r="K30" s="115" t="n">
        <f aca="false">S372</f>
        <v>-0.0679611650485437</v>
      </c>
      <c r="L30" s="115" t="n">
        <f aca="false">S410</f>
        <v>0.504761904761905</v>
      </c>
      <c r="M30" s="115" t="n">
        <f aca="false">S448</f>
        <v>0.291666666666667</v>
      </c>
      <c r="N30" s="115" t="n">
        <f aca="false">S486</f>
        <v>-0.0198675496688742</v>
      </c>
      <c r="O30" s="115" t="n">
        <f aca="false">S524</f>
        <v>-0.0113636363636364</v>
      </c>
      <c r="P30" s="117"/>
      <c r="Q30" s="117"/>
      <c r="R30" s="117"/>
      <c r="S30" s="115" t="n">
        <f aca="false">S29/S28</f>
        <v>0.177795655671762</v>
      </c>
    </row>
    <row r="31" customFormat="false" ht="12.75" hidden="false" customHeight="false" outlineLevel="0" collapsed="false">
      <c r="A31" s="120"/>
      <c r="B31" s="107" t="n">
        <v>2016</v>
      </c>
      <c r="C31" s="110" t="n">
        <f aca="false">S69</f>
        <v>892</v>
      </c>
      <c r="D31" s="110" t="n">
        <f aca="false">S107</f>
        <v>607</v>
      </c>
      <c r="E31" s="110" t="n">
        <f aca="false">S145</f>
        <v>548</v>
      </c>
      <c r="F31" s="110" t="n">
        <f aca="false">S183</f>
        <v>356</v>
      </c>
      <c r="G31" s="110" t="n">
        <f aca="false">S221</f>
        <v>441</v>
      </c>
      <c r="H31" s="110" t="n">
        <f aca="false">S259</f>
        <v>594</v>
      </c>
      <c r="I31" s="110" t="n">
        <f aca="false">S297</f>
        <v>1367</v>
      </c>
      <c r="J31" s="110" t="n">
        <f aca="false">S335</f>
        <v>640</v>
      </c>
      <c r="K31" s="110" t="n">
        <f aca="false">S373</f>
        <v>297</v>
      </c>
      <c r="L31" s="110" t="n">
        <f aca="false">S411</f>
        <v>463</v>
      </c>
      <c r="M31" s="110" t="n">
        <f aca="false">S449</f>
        <v>149</v>
      </c>
      <c r="N31" s="110" t="n">
        <f aca="false">S487</f>
        <v>295</v>
      </c>
      <c r="O31" s="108" t="n">
        <f aca="false">S525</f>
        <v>251</v>
      </c>
      <c r="P31" s="109"/>
      <c r="Q31" s="109"/>
      <c r="R31" s="109"/>
      <c r="S31" s="110" t="n">
        <f aca="false">C31+D31+E31+F31+G31+H31+I31+J31+K31+L31+M31+N31+O31</f>
        <v>6900</v>
      </c>
    </row>
    <row r="32" customFormat="false" ht="12.75" hidden="false" customHeight="false" outlineLevel="0" collapsed="false">
      <c r="A32" s="118" t="s">
        <v>63</v>
      </c>
      <c r="B32" s="107" t="n">
        <v>2015</v>
      </c>
      <c r="C32" s="110" t="n">
        <f aca="false">S70</f>
        <v>1027</v>
      </c>
      <c r="D32" s="110" t="n">
        <f aca="false">S108</f>
        <v>879</v>
      </c>
      <c r="E32" s="110" t="n">
        <f aca="false">S146</f>
        <v>569</v>
      </c>
      <c r="F32" s="110" t="n">
        <f aca="false">S184</f>
        <v>402</v>
      </c>
      <c r="G32" s="110" t="n">
        <f aca="false">S222</f>
        <v>576</v>
      </c>
      <c r="H32" s="110" t="n">
        <f aca="false">S260</f>
        <v>684</v>
      </c>
      <c r="I32" s="110" t="n">
        <f aca="false">S298</f>
        <v>1463</v>
      </c>
      <c r="J32" s="110" t="n">
        <f aca="false">S336</f>
        <v>716</v>
      </c>
      <c r="K32" s="110" t="n">
        <f aca="false">S374</f>
        <v>246</v>
      </c>
      <c r="L32" s="110" t="n">
        <f aca="false">S412</f>
        <v>570</v>
      </c>
      <c r="M32" s="110" t="n">
        <f aca="false">S450</f>
        <v>207</v>
      </c>
      <c r="N32" s="110" t="n">
        <f aca="false">S488</f>
        <v>288</v>
      </c>
      <c r="O32" s="108" t="n">
        <f aca="false">S526</f>
        <v>291</v>
      </c>
      <c r="P32" s="109"/>
      <c r="Q32" s="109"/>
      <c r="R32" s="109"/>
      <c r="S32" s="110" t="n">
        <f aca="false">C32+D32+E32+F32+G32+H32+I32+J32+K32+L32+M32+N32+O32</f>
        <v>7918</v>
      </c>
    </row>
    <row r="33" customFormat="false" ht="12.75" hidden="false" customHeight="false" outlineLevel="0" collapsed="false">
      <c r="A33" s="120"/>
      <c r="B33" s="112" t="s">
        <v>53</v>
      </c>
      <c r="C33" s="110" t="n">
        <f aca="false">S71</f>
        <v>-135</v>
      </c>
      <c r="D33" s="110" t="n">
        <f aca="false">S109</f>
        <v>-272</v>
      </c>
      <c r="E33" s="110" t="n">
        <f aca="false">S147</f>
        <v>-21</v>
      </c>
      <c r="F33" s="110" t="n">
        <f aca="false">S185</f>
        <v>-46</v>
      </c>
      <c r="G33" s="110" t="n">
        <f aca="false">S223</f>
        <v>-135</v>
      </c>
      <c r="H33" s="110" t="n">
        <f aca="false">S261</f>
        <v>-90</v>
      </c>
      <c r="I33" s="121" t="n">
        <f aca="false">S299</f>
        <v>-96</v>
      </c>
      <c r="J33" s="110" t="n">
        <f aca="false">S337</f>
        <v>-76</v>
      </c>
      <c r="K33" s="110" t="n">
        <f aca="false">S375</f>
        <v>51</v>
      </c>
      <c r="L33" s="110" t="n">
        <f aca="false">S413</f>
        <v>-107</v>
      </c>
      <c r="M33" s="110" t="n">
        <f aca="false">S451</f>
        <v>-58</v>
      </c>
      <c r="N33" s="110" t="n">
        <f aca="false">S489</f>
        <v>7</v>
      </c>
      <c r="O33" s="108" t="n">
        <f aca="false">O31-O32</f>
        <v>-40</v>
      </c>
      <c r="P33" s="109"/>
      <c r="Q33" s="109"/>
      <c r="R33" s="109"/>
      <c r="S33" s="110" t="n">
        <f aca="false">S31-S32</f>
        <v>-1018</v>
      </c>
    </row>
    <row r="34" customFormat="false" ht="13.5" hidden="false" customHeight="false" outlineLevel="0" collapsed="false">
      <c r="A34" s="119"/>
      <c r="B34" s="114" t="s">
        <v>9</v>
      </c>
      <c r="C34" s="115" t="n">
        <f aca="false">S72</f>
        <v>-0.131450827653359</v>
      </c>
      <c r="D34" s="115" t="n">
        <f aca="false">S110</f>
        <v>-0.309442548350398</v>
      </c>
      <c r="E34" s="115" t="n">
        <f aca="false">S148</f>
        <v>-0.0369068541300527</v>
      </c>
      <c r="F34" s="115" t="n">
        <f aca="false">S186</f>
        <v>-0.114427860696517</v>
      </c>
      <c r="G34" s="115" t="n">
        <f aca="false">S224</f>
        <v>-0.234375</v>
      </c>
      <c r="H34" s="115" t="n">
        <f aca="false">S262</f>
        <v>-0.131578947368421</v>
      </c>
      <c r="I34" s="115" t="n">
        <f aca="false">S300</f>
        <v>-0.0656185919343814</v>
      </c>
      <c r="J34" s="115" t="n">
        <f aca="false">S338</f>
        <v>-0.106145251396648</v>
      </c>
      <c r="K34" s="115" t="n">
        <f aca="false">S376</f>
        <v>0.207317073170732</v>
      </c>
      <c r="L34" s="115" t="n">
        <f aca="false">S414</f>
        <v>-0.187719298245614</v>
      </c>
      <c r="M34" s="115" t="n">
        <f aca="false">S452</f>
        <v>-0.280193236714976</v>
      </c>
      <c r="N34" s="115" t="n">
        <f aca="false">S490</f>
        <v>0.0243055555555556</v>
      </c>
      <c r="O34" s="115" t="n">
        <f aca="false">S528</f>
        <v>-0.13745704467354</v>
      </c>
      <c r="P34" s="117"/>
      <c r="Q34" s="117"/>
      <c r="R34" s="117"/>
      <c r="S34" s="115" t="n">
        <f aca="false">S33/S32</f>
        <v>-0.128567820156605</v>
      </c>
    </row>
    <row r="35" customFormat="false" ht="12.75" hidden="false" customHeight="false" outlineLevel="0" collapsed="false">
      <c r="A35" s="120"/>
      <c r="B35" s="107" t="n">
        <v>2016</v>
      </c>
      <c r="C35" s="110" t="n">
        <f aca="false">S73</f>
        <v>3858</v>
      </c>
      <c r="D35" s="110" t="n">
        <f aca="false">S111</f>
        <v>1526</v>
      </c>
      <c r="E35" s="110" t="n">
        <f aca="false">S149</f>
        <v>1702</v>
      </c>
      <c r="F35" s="110" t="n">
        <f aca="false">S187</f>
        <v>520</v>
      </c>
      <c r="G35" s="110" t="n">
        <f aca="false">S225</f>
        <v>1004</v>
      </c>
      <c r="H35" s="110" t="n">
        <f aca="false">S263</f>
        <v>1636</v>
      </c>
      <c r="I35" s="110" t="n">
        <f aca="false">S301</f>
        <v>4445</v>
      </c>
      <c r="J35" s="110" t="n">
        <f aca="false">S339</f>
        <v>1976</v>
      </c>
      <c r="K35" s="110" t="n">
        <f aca="false">S377</f>
        <v>760</v>
      </c>
      <c r="L35" s="110" t="n">
        <f aca="false">S415</f>
        <v>778</v>
      </c>
      <c r="M35" s="110" t="n">
        <f aca="false">S453</f>
        <v>267</v>
      </c>
      <c r="N35" s="110" t="n">
        <f aca="false">S491</f>
        <v>582</v>
      </c>
      <c r="O35" s="108" t="n">
        <f aca="false">S529</f>
        <v>467</v>
      </c>
      <c r="P35" s="109"/>
      <c r="Q35" s="109"/>
      <c r="R35" s="109"/>
      <c r="S35" s="110" t="n">
        <f aca="false">C35+D35+E35+F35+G35+H35+I35+J35+K35+L35+M35+N35+O35</f>
        <v>19521</v>
      </c>
    </row>
    <row r="36" customFormat="false" ht="12.75" hidden="false" customHeight="false" outlineLevel="0" collapsed="false">
      <c r="A36" s="118" t="s">
        <v>64</v>
      </c>
      <c r="B36" s="107" t="n">
        <v>2015</v>
      </c>
      <c r="C36" s="110" t="n">
        <f aca="false">S74</f>
        <v>3707</v>
      </c>
      <c r="D36" s="110" t="n">
        <f aca="false">S112</f>
        <v>1878</v>
      </c>
      <c r="E36" s="110" t="n">
        <f aca="false">S150</f>
        <v>1834</v>
      </c>
      <c r="F36" s="110" t="n">
        <f aca="false">S188</f>
        <v>639</v>
      </c>
      <c r="G36" s="110" t="n">
        <f aca="false">S226</f>
        <v>1015</v>
      </c>
      <c r="H36" s="110" t="n">
        <f aca="false">S264</f>
        <v>1685</v>
      </c>
      <c r="I36" s="110" t="n">
        <f aca="false">S302</f>
        <v>5029</v>
      </c>
      <c r="J36" s="110" t="n">
        <f aca="false">S340</f>
        <v>2081</v>
      </c>
      <c r="K36" s="110" t="n">
        <f aca="false">S378</f>
        <v>766</v>
      </c>
      <c r="L36" s="110" t="n">
        <f aca="false">S416</f>
        <v>851</v>
      </c>
      <c r="M36" s="110" t="n">
        <f aca="false">S454</f>
        <v>253</v>
      </c>
      <c r="N36" s="110" t="n">
        <f aca="false">S492</f>
        <v>616</v>
      </c>
      <c r="O36" s="108" t="n">
        <f aca="false">S530</f>
        <v>482</v>
      </c>
      <c r="P36" s="109"/>
      <c r="Q36" s="109"/>
      <c r="R36" s="109"/>
      <c r="S36" s="110" t="n">
        <f aca="false">C36+D36+E36+F36+G36+H36+I36+J36+K36+L36+M36+N36+O36</f>
        <v>20836</v>
      </c>
    </row>
    <row r="37" customFormat="false" ht="12.75" hidden="false" customHeight="false" outlineLevel="0" collapsed="false">
      <c r="A37" s="118" t="s">
        <v>65</v>
      </c>
      <c r="B37" s="112" t="s">
        <v>53</v>
      </c>
      <c r="C37" s="110" t="n">
        <f aca="false">S75</f>
        <v>151</v>
      </c>
      <c r="D37" s="110" t="n">
        <f aca="false">S113</f>
        <v>-352</v>
      </c>
      <c r="E37" s="110" t="n">
        <f aca="false">S151</f>
        <v>-132</v>
      </c>
      <c r="F37" s="110" t="n">
        <f aca="false">S189</f>
        <v>-119</v>
      </c>
      <c r="G37" s="110" t="n">
        <f aca="false">S227</f>
        <v>-11</v>
      </c>
      <c r="H37" s="110" t="n">
        <f aca="false">S265</f>
        <v>-49</v>
      </c>
      <c r="I37" s="121" t="n">
        <f aca="false">S303</f>
        <v>-584</v>
      </c>
      <c r="J37" s="110" t="n">
        <f aca="false">S341</f>
        <v>-105</v>
      </c>
      <c r="K37" s="110" t="n">
        <f aca="false">S379</f>
        <v>-6</v>
      </c>
      <c r="L37" s="110" t="n">
        <f aca="false">S417</f>
        <v>-73</v>
      </c>
      <c r="M37" s="110" t="n">
        <f aca="false">S455</f>
        <v>14</v>
      </c>
      <c r="N37" s="110" t="n">
        <f aca="false">S493</f>
        <v>-34</v>
      </c>
      <c r="O37" s="108" t="n">
        <f aca="false">O35-O36</f>
        <v>-15</v>
      </c>
      <c r="P37" s="109"/>
      <c r="Q37" s="109"/>
      <c r="R37" s="109"/>
      <c r="S37" s="110" t="n">
        <f aca="false">S35-S36</f>
        <v>-1315</v>
      </c>
    </row>
    <row r="38" customFormat="false" ht="13.5" hidden="false" customHeight="false" outlineLevel="0" collapsed="false">
      <c r="A38" s="119"/>
      <c r="B38" s="114" t="s">
        <v>9</v>
      </c>
      <c r="C38" s="115" t="n">
        <f aca="false">S76</f>
        <v>0.040733746965201</v>
      </c>
      <c r="D38" s="115" t="n">
        <f aca="false">S114</f>
        <v>-0.187433439829606</v>
      </c>
      <c r="E38" s="115" t="n">
        <f aca="false">S152</f>
        <v>-0.0719738276990185</v>
      </c>
      <c r="F38" s="115" t="n">
        <f aca="false">S190</f>
        <v>-0.18622848200313</v>
      </c>
      <c r="G38" s="115" t="n">
        <f aca="false">S228</f>
        <v>-0.0108374384236453</v>
      </c>
      <c r="H38" s="115" t="n">
        <f aca="false">S266</f>
        <v>-0.029080118694362</v>
      </c>
      <c r="I38" s="115" t="n">
        <f aca="false">S304</f>
        <v>-0.116126466494333</v>
      </c>
      <c r="J38" s="115" t="n">
        <f aca="false">S342</f>
        <v>-0.0504565112926478</v>
      </c>
      <c r="K38" s="115" t="n">
        <f aca="false">S380</f>
        <v>-0.00783289817232376</v>
      </c>
      <c r="L38" s="115" t="n">
        <f aca="false">S418</f>
        <v>-0.0857814336075206</v>
      </c>
      <c r="M38" s="115" t="n">
        <f aca="false">S456</f>
        <v>0.0553359683794466</v>
      </c>
      <c r="N38" s="115" t="n">
        <f aca="false">S494</f>
        <v>-0.0551948051948052</v>
      </c>
      <c r="O38" s="115" t="n">
        <f aca="false">S532</f>
        <v>-0.0311203319502075</v>
      </c>
      <c r="P38" s="117"/>
      <c r="Q38" s="117"/>
      <c r="R38" s="117"/>
      <c r="S38" s="115" t="n">
        <f aca="false">S37/S36</f>
        <v>-0.0631119216740257</v>
      </c>
    </row>
    <row r="39" customFormat="false" ht="12.75" hidden="false" customHeight="false" outlineLevel="0" collapsed="false">
      <c r="A39" s="120"/>
      <c r="B39" s="107" t="n">
        <v>2016</v>
      </c>
      <c r="C39" s="110" t="n">
        <f aca="false">S77</f>
        <v>773</v>
      </c>
      <c r="D39" s="110" t="n">
        <f aca="false">S115</f>
        <v>246</v>
      </c>
      <c r="E39" s="110" t="n">
        <f aca="false">S153</f>
        <v>99</v>
      </c>
      <c r="F39" s="110" t="n">
        <f aca="false">S191</f>
        <v>51</v>
      </c>
      <c r="G39" s="110" t="n">
        <f aca="false">S229</f>
        <v>53</v>
      </c>
      <c r="H39" s="110" t="n">
        <f aca="false">S267</f>
        <v>254</v>
      </c>
      <c r="I39" s="110" t="n">
        <f aca="false">S305</f>
        <v>1154</v>
      </c>
      <c r="J39" s="110" t="n">
        <f aca="false">S343</f>
        <v>242</v>
      </c>
      <c r="K39" s="110" t="n">
        <f aca="false">S381</f>
        <v>56</v>
      </c>
      <c r="L39" s="110" t="n">
        <f aca="false">S419</f>
        <v>50</v>
      </c>
      <c r="M39" s="110" t="n">
        <f aca="false">S457</f>
        <v>19</v>
      </c>
      <c r="N39" s="110" t="n">
        <f aca="false">S495</f>
        <v>46</v>
      </c>
      <c r="O39" s="108" t="n">
        <f aca="false">S533</f>
        <v>78</v>
      </c>
      <c r="P39" s="109"/>
      <c r="Q39" s="109"/>
      <c r="R39" s="109"/>
      <c r="S39" s="110" t="n">
        <f aca="false">C39+D39+E39+F39+G39+H39+I39+J39+K39+L39+M39+N39+O39</f>
        <v>3121</v>
      </c>
    </row>
    <row r="40" customFormat="false" ht="12.75" hidden="false" customHeight="false" outlineLevel="0" collapsed="false">
      <c r="A40" s="118" t="s">
        <v>66</v>
      </c>
      <c r="B40" s="107" t="n">
        <v>2015</v>
      </c>
      <c r="C40" s="110" t="n">
        <f aca="false">S78</f>
        <v>824</v>
      </c>
      <c r="D40" s="110" t="n">
        <f aca="false">S116</f>
        <v>304</v>
      </c>
      <c r="E40" s="110" t="n">
        <f aca="false">S154</f>
        <v>101</v>
      </c>
      <c r="F40" s="110" t="n">
        <f aca="false">S192</f>
        <v>63</v>
      </c>
      <c r="G40" s="110" t="n">
        <f aca="false">S230</f>
        <v>101</v>
      </c>
      <c r="H40" s="110" t="n">
        <f aca="false">S268</f>
        <v>280</v>
      </c>
      <c r="I40" s="110" t="n">
        <f aca="false">S306</f>
        <v>1259</v>
      </c>
      <c r="J40" s="110" t="n">
        <f aca="false">S344</f>
        <v>217</v>
      </c>
      <c r="K40" s="110" t="n">
        <f aca="false">S382</f>
        <v>83</v>
      </c>
      <c r="L40" s="110" t="n">
        <f aca="false">S420</f>
        <v>38</v>
      </c>
      <c r="M40" s="110" t="n">
        <f aca="false">S458</f>
        <v>10</v>
      </c>
      <c r="N40" s="110" t="n">
        <f aca="false">S496</f>
        <v>51</v>
      </c>
      <c r="O40" s="108" t="n">
        <f aca="false">S534</f>
        <v>96</v>
      </c>
      <c r="P40" s="109"/>
      <c r="Q40" s="109"/>
      <c r="R40" s="109"/>
      <c r="S40" s="110" t="n">
        <f aca="false">C40+D40+E40+F40+G40+H40+I40+J40+K40+L40+M40+N40+O40</f>
        <v>3427</v>
      </c>
    </row>
    <row r="41" customFormat="false" ht="12.75" hidden="false" customHeight="false" outlineLevel="0" collapsed="false">
      <c r="A41" s="118" t="s">
        <v>67</v>
      </c>
      <c r="B41" s="112" t="s">
        <v>53</v>
      </c>
      <c r="C41" s="110" t="n">
        <f aca="false">S79</f>
        <v>-51</v>
      </c>
      <c r="D41" s="110" t="n">
        <f aca="false">S117</f>
        <v>-58</v>
      </c>
      <c r="E41" s="110" t="n">
        <f aca="false">S155</f>
        <v>-2</v>
      </c>
      <c r="F41" s="110" t="n">
        <f aca="false">S193</f>
        <v>-12</v>
      </c>
      <c r="G41" s="110" t="n">
        <f aca="false">S231</f>
        <v>-48</v>
      </c>
      <c r="H41" s="110" t="n">
        <f aca="false">S269</f>
        <v>-26</v>
      </c>
      <c r="I41" s="110" t="n">
        <f aca="false">S307</f>
        <v>-105</v>
      </c>
      <c r="J41" s="110" t="n">
        <f aca="false">S345</f>
        <v>25</v>
      </c>
      <c r="K41" s="110" t="n">
        <f aca="false">S383</f>
        <v>-27</v>
      </c>
      <c r="L41" s="110" t="n">
        <f aca="false">S421</f>
        <v>12</v>
      </c>
      <c r="M41" s="110" t="n">
        <f aca="false">S459</f>
        <v>9</v>
      </c>
      <c r="N41" s="110" t="n">
        <f aca="false">S497</f>
        <v>-5</v>
      </c>
      <c r="O41" s="108" t="n">
        <f aca="false">O39-O40</f>
        <v>-18</v>
      </c>
      <c r="P41" s="109"/>
      <c r="Q41" s="109"/>
      <c r="R41" s="109"/>
      <c r="S41" s="110" t="n">
        <f aca="false">S39-S40</f>
        <v>-306</v>
      </c>
    </row>
    <row r="42" customFormat="false" ht="13.5" hidden="false" customHeight="false" outlineLevel="0" collapsed="false">
      <c r="A42" s="119"/>
      <c r="B42" s="114" t="s">
        <v>9</v>
      </c>
      <c r="C42" s="115" t="n">
        <f aca="false">S80</f>
        <v>-0.0618932038834951</v>
      </c>
      <c r="D42" s="115" t="n">
        <f aca="false">S118</f>
        <v>-0.190789473684211</v>
      </c>
      <c r="E42" s="115" t="n">
        <f aca="false">S156</f>
        <v>-0.0198019801980198</v>
      </c>
      <c r="F42" s="115" t="n">
        <f aca="false">S194</f>
        <v>-0.19047619047619</v>
      </c>
      <c r="G42" s="115" t="n">
        <f aca="false">S232</f>
        <v>-0.475247524752475</v>
      </c>
      <c r="H42" s="115" t="n">
        <f aca="false">S270</f>
        <v>-0.0928571428571429</v>
      </c>
      <c r="I42" s="115" t="n">
        <f aca="false">S308</f>
        <v>-0.0833995234312947</v>
      </c>
      <c r="J42" s="115" t="n">
        <f aca="false">S346</f>
        <v>0.115207373271889</v>
      </c>
      <c r="K42" s="115" t="n">
        <f aca="false">S384</f>
        <v>-0.325301204819277</v>
      </c>
      <c r="L42" s="115" t="n">
        <f aca="false">S422</f>
        <v>0.315789473684211</v>
      </c>
      <c r="M42" s="115" t="n">
        <f aca="false">S460</f>
        <v>0.9</v>
      </c>
      <c r="N42" s="115" t="n">
        <f aca="false">S498</f>
        <v>-0.0980392156862745</v>
      </c>
      <c r="O42" s="115" t="n">
        <f aca="false">S536</f>
        <v>-0.1875</v>
      </c>
      <c r="P42" s="117"/>
      <c r="Q42" s="117"/>
      <c r="R42" s="117"/>
      <c r="S42" s="115" t="n">
        <f aca="false">S41/S40</f>
        <v>-0.089290925007295</v>
      </c>
    </row>
    <row r="43" customFormat="false" ht="13.5" hidden="false" customHeight="false" outlineLevel="0" collapsed="false">
      <c r="A43" s="123" t="s">
        <v>68</v>
      </c>
      <c r="B43" s="124"/>
      <c r="C43" s="125"/>
      <c r="D43" s="125"/>
      <c r="E43" s="125"/>
      <c r="F43" s="125"/>
      <c r="G43" s="125"/>
      <c r="H43" s="125"/>
      <c r="I43" s="125"/>
      <c r="J43" s="125"/>
      <c r="K43" s="125"/>
      <c r="L43" s="125"/>
      <c r="M43" s="125"/>
      <c r="N43" s="125"/>
      <c r="O43" s="125"/>
      <c r="P43" s="125"/>
      <c r="Q43" s="125"/>
      <c r="R43" s="125"/>
      <c r="S43" s="126" t="s">
        <v>2</v>
      </c>
    </row>
    <row r="44" customFormat="false" ht="34.5" hidden="false" customHeight="false" outlineLevel="0" collapsed="false">
      <c r="A44" s="127"/>
      <c r="B44" s="128"/>
      <c r="C44" s="129" t="s">
        <v>69</v>
      </c>
      <c r="D44" s="130" t="s">
        <v>70</v>
      </c>
      <c r="E44" s="129" t="s">
        <v>71</v>
      </c>
      <c r="F44" s="131" t="s">
        <v>72</v>
      </c>
      <c r="G44" s="129" t="s">
        <v>73</v>
      </c>
      <c r="H44" s="130" t="s">
        <v>74</v>
      </c>
      <c r="I44" s="132" t="s">
        <v>75</v>
      </c>
      <c r="J44" s="130" t="s">
        <v>76</v>
      </c>
      <c r="K44" s="132" t="s">
        <v>77</v>
      </c>
      <c r="L44" s="131" t="s">
        <v>78</v>
      </c>
      <c r="M44" s="132" t="s">
        <v>79</v>
      </c>
      <c r="N44" s="133"/>
      <c r="O44" s="134"/>
      <c r="P44" s="134"/>
      <c r="Q44" s="134"/>
      <c r="R44" s="135"/>
      <c r="S44" s="134" t="s">
        <v>52</v>
      </c>
    </row>
    <row r="45" customFormat="false" ht="12.75" hidden="false" customHeight="false" outlineLevel="0" collapsed="false">
      <c r="A45" s="136"/>
      <c r="B45" s="107" t="n">
        <v>2016</v>
      </c>
      <c r="C45" s="109" t="n">
        <f aca="false">C49+C53+C57+C61+C65+C69+C73+C77</f>
        <v>311</v>
      </c>
      <c r="D45" s="109" t="n">
        <f aca="false">D49+D53+D57+D61+D65+D69+D73+D77</f>
        <v>864</v>
      </c>
      <c r="E45" s="109" t="n">
        <f aca="false">E49+E53+E57+E61+E65+E69+E73+E77</f>
        <v>740</v>
      </c>
      <c r="F45" s="109" t="n">
        <f aca="false">F49+F53+F57+F61+F65+F69+F73+F77</f>
        <v>428</v>
      </c>
      <c r="G45" s="109" t="n">
        <f aca="false">G49+G53+G57+G61+G65+G69+G73+G77</f>
        <v>1002</v>
      </c>
      <c r="H45" s="109" t="n">
        <f aca="false">H49+H53+H57+H61+H65+H69+H73+H77</f>
        <v>387</v>
      </c>
      <c r="I45" s="109" t="n">
        <f aca="false">I49+I53+I57+I61+I65+I69+I73+I77</f>
        <v>449</v>
      </c>
      <c r="J45" s="109" t="n">
        <f aca="false">J49+J53+J57+J61+J65+J69+J73+J77</f>
        <v>379</v>
      </c>
      <c r="K45" s="109" t="n">
        <f aca="false">K49+K53+K57+K61+K65+K69+K73+K77</f>
        <v>484</v>
      </c>
      <c r="L45" s="109" t="n">
        <f aca="false">L49+L53+L57+L61+L65+L69+L73+L77</f>
        <v>950</v>
      </c>
      <c r="M45" s="109" t="n">
        <f aca="false">M49+M53+M57+M61+M65+M69+M73+M77</f>
        <v>779</v>
      </c>
      <c r="N45" s="109"/>
      <c r="O45" s="109"/>
      <c r="P45" s="109"/>
      <c r="Q45" s="109"/>
      <c r="R45" s="137"/>
      <c r="S45" s="109" t="n">
        <f aca="false">C45+D45+E45+F45+G45+H45+I45+J45+K45+L45+M45+N45</f>
        <v>6773</v>
      </c>
    </row>
    <row r="46" customFormat="false" ht="12.75" hidden="false" customHeight="false" outlineLevel="0" collapsed="false">
      <c r="A46" s="138" t="s">
        <v>52</v>
      </c>
      <c r="B46" s="107" t="n">
        <v>2015</v>
      </c>
      <c r="C46" s="109" t="n">
        <f aca="false">C50+C54+C58+C62+C66+C70+C74+C78</f>
        <v>385</v>
      </c>
      <c r="D46" s="109" t="n">
        <f aca="false">D50+D54+D58+D62+D66+D70+D74+D78</f>
        <v>821</v>
      </c>
      <c r="E46" s="109" t="n">
        <f aca="false">E50+E54+E58+E62+E66+E70+E74+E78</f>
        <v>721</v>
      </c>
      <c r="F46" s="109" t="n">
        <f aca="false">F50+F54+F58+F62+F66+F70+F74+F78</f>
        <v>430</v>
      </c>
      <c r="G46" s="109" t="n">
        <f aca="false">G50+G54+G58+G62+G66+G70+G74+G78</f>
        <v>1081</v>
      </c>
      <c r="H46" s="109" t="n">
        <f aca="false">H50+H54+H58+H62+H66+H70+H74+H78</f>
        <v>448</v>
      </c>
      <c r="I46" s="109" t="n">
        <f aca="false">I50+I54+I58+I62+I66+I70+I74+I78</f>
        <v>500</v>
      </c>
      <c r="J46" s="109" t="n">
        <f aca="false">J50+J54+J58+J62+J66+J70+J74+J78</f>
        <v>316</v>
      </c>
      <c r="K46" s="109" t="n">
        <f aca="false">K50+K54+K58+K62+K66+K70+K74+K78</f>
        <v>491</v>
      </c>
      <c r="L46" s="109" t="n">
        <f aca="false">L50+L54+L58+L62+L66+L70+L74+L78</f>
        <v>1017</v>
      </c>
      <c r="M46" s="109" t="n">
        <f aca="false">M50+M54+M58+M62+M66+M70+M74+M78</f>
        <v>732</v>
      </c>
      <c r="N46" s="109"/>
      <c r="O46" s="109"/>
      <c r="P46" s="109"/>
      <c r="Q46" s="109"/>
      <c r="R46" s="137"/>
      <c r="S46" s="109" t="n">
        <f aca="false">C46+D46+E46+F46+G46+H46+I46+J46+K46+L46+M46+N46</f>
        <v>6942</v>
      </c>
    </row>
    <row r="47" customFormat="false" ht="12.75" hidden="false" customHeight="false" outlineLevel="0" collapsed="false">
      <c r="A47" s="136"/>
      <c r="B47" s="112" t="s">
        <v>53</v>
      </c>
      <c r="C47" s="109" t="n">
        <f aca="false">C45-C46</f>
        <v>-74</v>
      </c>
      <c r="D47" s="126" t="n">
        <f aca="false">D45-D46</f>
        <v>43</v>
      </c>
      <c r="E47" s="109" t="n">
        <f aca="false">E45-E46</f>
        <v>19</v>
      </c>
      <c r="F47" s="126" t="n">
        <f aca="false">F45-F46</f>
        <v>-2</v>
      </c>
      <c r="G47" s="109" t="n">
        <f aca="false">G45-G46</f>
        <v>-79</v>
      </c>
      <c r="H47" s="126" t="n">
        <f aca="false">H45-H46</f>
        <v>-61</v>
      </c>
      <c r="I47" s="109" t="n">
        <f aca="false">I45-I46</f>
        <v>-51</v>
      </c>
      <c r="J47" s="126" t="n">
        <f aca="false">J45-J46</f>
        <v>63</v>
      </c>
      <c r="K47" s="109" t="n">
        <f aca="false">K45-K46</f>
        <v>-7</v>
      </c>
      <c r="L47" s="126" t="n">
        <f aca="false">L45-L46</f>
        <v>-67</v>
      </c>
      <c r="M47" s="109" t="n">
        <f aca="false">M45-M46</f>
        <v>47</v>
      </c>
      <c r="N47" s="137"/>
      <c r="O47" s="109"/>
      <c r="P47" s="109"/>
      <c r="Q47" s="109"/>
      <c r="R47" s="126"/>
      <c r="S47" s="109" t="n">
        <f aca="false">S45-S46</f>
        <v>-169</v>
      </c>
    </row>
    <row r="48" customFormat="false" ht="13.5" hidden="false" customHeight="false" outlineLevel="0" collapsed="false">
      <c r="A48" s="139"/>
      <c r="B48" s="114" t="s">
        <v>9</v>
      </c>
      <c r="C48" s="117" t="n">
        <f aca="false">C47/C46</f>
        <v>-0.192207792207792</v>
      </c>
      <c r="D48" s="140" t="n">
        <f aca="false">D47/D46</f>
        <v>0.0523751522533496</v>
      </c>
      <c r="E48" s="117" t="n">
        <f aca="false">E47/E46</f>
        <v>0.0263522884882108</v>
      </c>
      <c r="F48" s="140" t="n">
        <f aca="false">F47/F46</f>
        <v>-0.00465116279069767</v>
      </c>
      <c r="G48" s="117" t="n">
        <f aca="false">G47/G46</f>
        <v>-0.0730804810360777</v>
      </c>
      <c r="H48" s="140" t="n">
        <f aca="false">H47/H46</f>
        <v>-0.136160714285714</v>
      </c>
      <c r="I48" s="117" t="n">
        <f aca="false">I47/I46</f>
        <v>-0.102</v>
      </c>
      <c r="J48" s="140" t="n">
        <f aca="false">J47/J46</f>
        <v>0.199367088607595</v>
      </c>
      <c r="K48" s="117" t="n">
        <f aca="false">K47/K46</f>
        <v>-0.0142566191446029</v>
      </c>
      <c r="L48" s="140" t="n">
        <f aca="false">L47/L46</f>
        <v>-0.0658800393313668</v>
      </c>
      <c r="M48" s="117" t="n">
        <f aca="false">M47/M46</f>
        <v>0.0642076502732241</v>
      </c>
      <c r="N48" s="141"/>
      <c r="O48" s="117"/>
      <c r="P48" s="117"/>
      <c r="Q48" s="117"/>
      <c r="R48" s="140"/>
      <c r="S48" s="117" t="n">
        <f aca="false">S47/S46</f>
        <v>-0.0243445692883895</v>
      </c>
    </row>
    <row r="49" customFormat="false" ht="12.75" hidden="false" customHeight="false" outlineLevel="0" collapsed="false">
      <c r="A49" s="136"/>
      <c r="B49" s="107" t="n">
        <v>2016</v>
      </c>
      <c r="C49" s="109" t="n">
        <v>4</v>
      </c>
      <c r="D49" s="126" t="n">
        <v>13</v>
      </c>
      <c r="E49" s="109" t="n">
        <f aca="false">6+2</f>
        <v>8</v>
      </c>
      <c r="F49" s="126" t="n">
        <f aca="false">21+6</f>
        <v>27</v>
      </c>
      <c r="G49" s="109" t="n">
        <v>15</v>
      </c>
      <c r="H49" s="126" t="n">
        <v>3</v>
      </c>
      <c r="I49" s="109" t="n">
        <v>7</v>
      </c>
      <c r="J49" s="126" t="n">
        <v>10</v>
      </c>
      <c r="K49" s="109" t="n">
        <v>23</v>
      </c>
      <c r="L49" s="126" t="n">
        <v>15</v>
      </c>
      <c r="M49" s="109" t="n">
        <v>1</v>
      </c>
      <c r="N49" s="137"/>
      <c r="O49" s="109"/>
      <c r="P49" s="109"/>
      <c r="Q49" s="109"/>
      <c r="R49" s="126"/>
      <c r="S49" s="109" t="n">
        <f aca="false">C49+D49+E49+F49+G49+H49+I49+J49+K49+L49+M49+N49</f>
        <v>126</v>
      </c>
    </row>
    <row r="50" customFormat="false" ht="12.75" hidden="false" customHeight="false" outlineLevel="0" collapsed="false">
      <c r="A50" s="138" t="s">
        <v>54</v>
      </c>
      <c r="B50" s="107" t="n">
        <v>2015</v>
      </c>
      <c r="C50" s="109" t="n">
        <v>3</v>
      </c>
      <c r="D50" s="126" t="n">
        <v>10</v>
      </c>
      <c r="E50" s="109" t="n">
        <v>4</v>
      </c>
      <c r="F50" s="126" t="n">
        <v>8</v>
      </c>
      <c r="G50" s="109" t="n">
        <v>10</v>
      </c>
      <c r="H50" s="126" t="n">
        <v>0</v>
      </c>
      <c r="I50" s="109" t="n">
        <v>9</v>
      </c>
      <c r="J50" s="126" t="n">
        <v>7</v>
      </c>
      <c r="K50" s="109" t="n">
        <v>15</v>
      </c>
      <c r="L50" s="126" t="n">
        <v>15</v>
      </c>
      <c r="M50" s="109" t="n">
        <v>3</v>
      </c>
      <c r="N50" s="137"/>
      <c r="O50" s="109"/>
      <c r="P50" s="109"/>
      <c r="Q50" s="109"/>
      <c r="R50" s="126"/>
      <c r="S50" s="109" t="n">
        <f aca="false">C50+D50+E50+F50+G50+H50+I50+J50+K50+L50+M50+N50</f>
        <v>84</v>
      </c>
    </row>
    <row r="51" customFormat="false" ht="12.75" hidden="false" customHeight="false" outlineLevel="0" collapsed="false">
      <c r="A51" s="138" t="s">
        <v>55</v>
      </c>
      <c r="B51" s="112" t="s">
        <v>53</v>
      </c>
      <c r="C51" s="109" t="n">
        <f aca="false">C49-C50</f>
        <v>1</v>
      </c>
      <c r="D51" s="126" t="n">
        <f aca="false">D49-D50</f>
        <v>3</v>
      </c>
      <c r="E51" s="109" t="n">
        <f aca="false">E49-E50</f>
        <v>4</v>
      </c>
      <c r="F51" s="126" t="n">
        <f aca="false">F49-F50</f>
        <v>19</v>
      </c>
      <c r="G51" s="109" t="n">
        <f aca="false">G49-G50</f>
        <v>5</v>
      </c>
      <c r="H51" s="126" t="n">
        <f aca="false">H49-H50</f>
        <v>3</v>
      </c>
      <c r="I51" s="109" t="n">
        <f aca="false">I49-I50</f>
        <v>-2</v>
      </c>
      <c r="J51" s="126" t="n">
        <f aca="false">J49-J50</f>
        <v>3</v>
      </c>
      <c r="K51" s="109" t="n">
        <f aca="false">K49-K50</f>
        <v>8</v>
      </c>
      <c r="L51" s="126" t="n">
        <f aca="false">L49-L50</f>
        <v>0</v>
      </c>
      <c r="M51" s="109" t="n">
        <f aca="false">M49-M50</f>
        <v>-2</v>
      </c>
      <c r="N51" s="137"/>
      <c r="O51" s="109"/>
      <c r="P51" s="109"/>
      <c r="Q51" s="109"/>
      <c r="R51" s="126"/>
      <c r="S51" s="109" t="n">
        <f aca="false">S49-S50</f>
        <v>42</v>
      </c>
    </row>
    <row r="52" customFormat="false" ht="13.5" hidden="false" customHeight="false" outlineLevel="0" collapsed="false">
      <c r="A52" s="142"/>
      <c r="B52" s="114" t="s">
        <v>9</v>
      </c>
      <c r="C52" s="117" t="n">
        <f aca="false">C51/C50</f>
        <v>0.333333333333333</v>
      </c>
      <c r="D52" s="117" t="n">
        <f aca="false">D51/D50</f>
        <v>0.3</v>
      </c>
      <c r="E52" s="117" t="n">
        <f aca="false">E51/E50</f>
        <v>1</v>
      </c>
      <c r="F52" s="117" t="n">
        <f aca="false">F51/F50</f>
        <v>2.375</v>
      </c>
      <c r="G52" s="117" t="n">
        <f aca="false">G51/G50</f>
        <v>0.5</v>
      </c>
      <c r="H52" s="117" t="n">
        <v>0</v>
      </c>
      <c r="I52" s="117" t="n">
        <f aca="false">I51/I50</f>
        <v>-0.222222222222222</v>
      </c>
      <c r="J52" s="143" t="n">
        <f aca="false">J51/J50</f>
        <v>0.428571428571429</v>
      </c>
      <c r="K52" s="117" t="n">
        <f aca="false">K51/K50</f>
        <v>0.533333333333333</v>
      </c>
      <c r="L52" s="117" t="n">
        <f aca="false">L51/L50</f>
        <v>0</v>
      </c>
      <c r="M52" s="117" t="n">
        <f aca="false">M51/M50</f>
        <v>-0.666666666666667</v>
      </c>
      <c r="N52" s="141"/>
      <c r="O52" s="117"/>
      <c r="P52" s="117"/>
      <c r="Q52" s="117"/>
      <c r="R52" s="140"/>
      <c r="S52" s="117" t="n">
        <f aca="false">S51/S50</f>
        <v>0.5</v>
      </c>
    </row>
    <row r="53" customFormat="false" ht="12.75" hidden="false" customHeight="false" outlineLevel="0" collapsed="false">
      <c r="A53" s="144"/>
      <c r="B53" s="107" t="n">
        <v>2016</v>
      </c>
      <c r="C53" s="109" t="n">
        <v>1</v>
      </c>
      <c r="D53" s="126" t="n">
        <v>2</v>
      </c>
      <c r="E53" s="109" t="n">
        <v>2</v>
      </c>
      <c r="F53" s="126" t="n">
        <v>1</v>
      </c>
      <c r="G53" s="109" t="n">
        <v>3</v>
      </c>
      <c r="H53" s="126" t="n">
        <v>0</v>
      </c>
      <c r="I53" s="109" t="n">
        <v>1</v>
      </c>
      <c r="J53" s="126" t="n">
        <v>0</v>
      </c>
      <c r="K53" s="109" t="n">
        <v>2</v>
      </c>
      <c r="L53" s="126" t="n">
        <v>1</v>
      </c>
      <c r="M53" s="109" t="n">
        <v>0</v>
      </c>
      <c r="N53" s="137"/>
      <c r="O53" s="109"/>
      <c r="P53" s="109"/>
      <c r="Q53" s="109"/>
      <c r="R53" s="126"/>
      <c r="S53" s="109" t="n">
        <f aca="false">C53+D53+E53+F53+G53+H53+I53+J53+K53+L53+M53+N53</f>
        <v>13</v>
      </c>
    </row>
    <row r="54" customFormat="false" ht="12.75" hidden="false" customHeight="false" outlineLevel="0" collapsed="false">
      <c r="A54" s="145" t="s">
        <v>56</v>
      </c>
      <c r="B54" s="107" t="n">
        <v>2015</v>
      </c>
      <c r="C54" s="109" t="n">
        <v>1</v>
      </c>
      <c r="D54" s="126" t="n">
        <v>0</v>
      </c>
      <c r="E54" s="109" t="n">
        <v>3</v>
      </c>
      <c r="F54" s="126" t="n">
        <v>4</v>
      </c>
      <c r="G54" s="109" t="n">
        <v>4</v>
      </c>
      <c r="H54" s="126" t="n">
        <v>0</v>
      </c>
      <c r="I54" s="109" t="n">
        <v>3</v>
      </c>
      <c r="J54" s="126" t="n">
        <v>3</v>
      </c>
      <c r="K54" s="109" t="n">
        <v>2</v>
      </c>
      <c r="L54" s="126" t="n">
        <v>2</v>
      </c>
      <c r="M54" s="109" t="n">
        <v>0</v>
      </c>
      <c r="N54" s="137" t="s">
        <v>2</v>
      </c>
      <c r="O54" s="109"/>
      <c r="P54" s="109"/>
      <c r="Q54" s="109"/>
      <c r="R54" s="126"/>
      <c r="S54" s="109" t="n">
        <f aca="false">C54+D54+E54+F54+G54+H54+I54+J54+K54+L54+M54</f>
        <v>22</v>
      </c>
    </row>
    <row r="55" customFormat="false" ht="12.75" hidden="false" customHeight="false" outlineLevel="0" collapsed="false">
      <c r="A55" s="145" t="s">
        <v>57</v>
      </c>
      <c r="B55" s="112" t="s">
        <v>53</v>
      </c>
      <c r="C55" s="109" t="n">
        <f aca="false">C53-C54</f>
        <v>0</v>
      </c>
      <c r="D55" s="146" t="n">
        <f aca="false">D53-D54</f>
        <v>2</v>
      </c>
      <c r="E55" s="109" t="n">
        <f aca="false">E53-E54</f>
        <v>-1</v>
      </c>
      <c r="F55" s="126" t="n">
        <f aca="false">F53-F54</f>
        <v>-3</v>
      </c>
      <c r="G55" s="109" t="n">
        <f aca="false">G53-G54</f>
        <v>-1</v>
      </c>
      <c r="H55" s="126" t="n">
        <f aca="false">H53-H54</f>
        <v>0</v>
      </c>
      <c r="I55" s="109" t="n">
        <f aca="false">I53-I54</f>
        <v>-2</v>
      </c>
      <c r="J55" s="126" t="n">
        <f aca="false">J53-J54</f>
        <v>-3</v>
      </c>
      <c r="K55" s="109" t="n">
        <f aca="false">K53-K54</f>
        <v>0</v>
      </c>
      <c r="L55" s="126" t="n">
        <f aca="false">L53-L54</f>
        <v>-1</v>
      </c>
      <c r="M55" s="109" t="n">
        <f aca="false">M53-M54</f>
        <v>0</v>
      </c>
      <c r="N55" s="137"/>
      <c r="O55" s="109"/>
      <c r="P55" s="109"/>
      <c r="Q55" s="109"/>
      <c r="R55" s="126"/>
      <c r="S55" s="147" t="n">
        <f aca="false">S53-S54</f>
        <v>-9</v>
      </c>
    </row>
    <row r="56" customFormat="false" ht="13.5" hidden="false" customHeight="false" outlineLevel="0" collapsed="false">
      <c r="A56" s="142"/>
      <c r="B56" s="114" t="s">
        <v>9</v>
      </c>
      <c r="C56" s="117" t="n">
        <f aca="false">C55/C54</f>
        <v>0</v>
      </c>
      <c r="D56" s="117" t="n">
        <v>0</v>
      </c>
      <c r="E56" s="117" t="n">
        <f aca="false">E55/E54</f>
        <v>-0.333333333333333</v>
      </c>
      <c r="F56" s="117" t="n">
        <f aca="false">F55/F54</f>
        <v>-0.75</v>
      </c>
      <c r="G56" s="117" t="n">
        <f aca="false">G55/G54</f>
        <v>-0.25</v>
      </c>
      <c r="H56" s="117" t="n">
        <v>0</v>
      </c>
      <c r="I56" s="117" t="n">
        <f aca="false">I55/I54</f>
        <v>-0.666666666666667</v>
      </c>
      <c r="J56" s="117" t="n">
        <f aca="false">J55/J54</f>
        <v>-1</v>
      </c>
      <c r="K56" s="117" t="n">
        <f aca="false">K55/K54</f>
        <v>0</v>
      </c>
      <c r="L56" s="117" t="n">
        <f aca="false">L55/L54</f>
        <v>-0.5</v>
      </c>
      <c r="M56" s="117" t="n">
        <v>0</v>
      </c>
      <c r="N56" s="141"/>
      <c r="O56" s="117"/>
      <c r="P56" s="117"/>
      <c r="Q56" s="117"/>
      <c r="R56" s="140"/>
      <c r="S56" s="117" t="n">
        <f aca="false">S55/S54</f>
        <v>-0.409090909090909</v>
      </c>
    </row>
    <row r="57" customFormat="false" ht="12.75" hidden="false" customHeight="false" outlineLevel="0" collapsed="false">
      <c r="A57" s="144"/>
      <c r="B57" s="107" t="n">
        <v>2016</v>
      </c>
      <c r="C57" s="109" t="n">
        <v>0</v>
      </c>
      <c r="D57" s="126" t="n">
        <v>0</v>
      </c>
      <c r="E57" s="109" t="n">
        <v>0</v>
      </c>
      <c r="F57" s="126" t="n">
        <v>0</v>
      </c>
      <c r="G57" s="109" t="n">
        <v>0</v>
      </c>
      <c r="H57" s="126" t="n">
        <v>0</v>
      </c>
      <c r="I57" s="109" t="n">
        <v>0</v>
      </c>
      <c r="J57" s="126" t="n">
        <v>0</v>
      </c>
      <c r="K57" s="109" t="n">
        <v>0</v>
      </c>
      <c r="L57" s="126" t="n">
        <v>0</v>
      </c>
      <c r="M57" s="109" t="n">
        <v>0</v>
      </c>
      <c r="N57" s="148"/>
      <c r="O57" s="149"/>
      <c r="P57" s="149"/>
      <c r="Q57" s="149"/>
      <c r="R57" s="150"/>
      <c r="S57" s="109" t="n">
        <f aca="false">C57+D57+E57+F57+G57+H57+I57+J57+K57+L57+M57+N57</f>
        <v>0</v>
      </c>
    </row>
    <row r="58" customFormat="false" ht="12.75" hidden="false" customHeight="false" outlineLevel="0" collapsed="false">
      <c r="A58" s="138" t="s">
        <v>80</v>
      </c>
      <c r="B58" s="107" t="n">
        <v>2015</v>
      </c>
      <c r="C58" s="109" t="n">
        <v>0</v>
      </c>
      <c r="D58" s="126" t="n">
        <v>0</v>
      </c>
      <c r="E58" s="109" t="n">
        <v>0</v>
      </c>
      <c r="F58" s="126" t="n">
        <v>0</v>
      </c>
      <c r="G58" s="109" t="n">
        <v>0</v>
      </c>
      <c r="H58" s="126" t="n">
        <v>0</v>
      </c>
      <c r="I58" s="109" t="n">
        <v>0</v>
      </c>
      <c r="J58" s="126" t="n">
        <v>0</v>
      </c>
      <c r="K58" s="109" t="n">
        <v>1</v>
      </c>
      <c r="L58" s="126" t="n">
        <v>0</v>
      </c>
      <c r="M58" s="109" t="n">
        <v>0</v>
      </c>
      <c r="N58" s="148"/>
      <c r="O58" s="149"/>
      <c r="P58" s="149"/>
      <c r="Q58" s="149"/>
      <c r="R58" s="150"/>
      <c r="S58" s="109" t="n">
        <f aca="false">C58+D58+E58+F58+G58+H58+I58+J58+K58+L58+M58</f>
        <v>1</v>
      </c>
    </row>
    <row r="59" customFormat="false" ht="12.75" hidden="false" customHeight="false" outlineLevel="0" collapsed="false">
      <c r="A59" s="138" t="s">
        <v>59</v>
      </c>
      <c r="B59" s="112" t="s">
        <v>53</v>
      </c>
      <c r="C59" s="109" t="n">
        <f aca="false">C57-C58</f>
        <v>0</v>
      </c>
      <c r="D59" s="126" t="n">
        <f aca="false">D57-D58</f>
        <v>0</v>
      </c>
      <c r="E59" s="109" t="n">
        <f aca="false">E57-E58</f>
        <v>0</v>
      </c>
      <c r="F59" s="126" t="n">
        <f aca="false">F57-F58</f>
        <v>0</v>
      </c>
      <c r="G59" s="109" t="n">
        <f aca="false">G57-G58</f>
        <v>0</v>
      </c>
      <c r="H59" s="126" t="n">
        <f aca="false">H57-H58</f>
        <v>0</v>
      </c>
      <c r="I59" s="151" t="n">
        <f aca="false">I57-I58</f>
        <v>0</v>
      </c>
      <c r="J59" s="151" t="n">
        <f aca="false">J57-J58</f>
        <v>0</v>
      </c>
      <c r="K59" s="151" t="n">
        <f aca="false">K57-K58</f>
        <v>-1</v>
      </c>
      <c r="L59" s="151" t="n">
        <f aca="false">L57-L58</f>
        <v>0</v>
      </c>
      <c r="M59" s="109" t="n">
        <f aca="false">M57-M58</f>
        <v>0</v>
      </c>
      <c r="N59" s="148"/>
      <c r="O59" s="149"/>
      <c r="P59" s="149"/>
      <c r="Q59" s="149"/>
      <c r="R59" s="150"/>
      <c r="S59" s="147" t="n">
        <f aca="false">S57-S58</f>
        <v>-1</v>
      </c>
    </row>
    <row r="60" customFormat="false" ht="13.5" hidden="false" customHeight="false" outlineLevel="0" collapsed="false">
      <c r="A60" s="142"/>
      <c r="B60" s="114" t="s">
        <v>9</v>
      </c>
      <c r="C60" s="117" t="n">
        <v>0</v>
      </c>
      <c r="D60" s="140" t="n">
        <v>0</v>
      </c>
      <c r="E60" s="117" t="n">
        <v>0</v>
      </c>
      <c r="F60" s="140" t="n">
        <v>0</v>
      </c>
      <c r="G60" s="117" t="n">
        <v>0</v>
      </c>
      <c r="H60" s="140" t="n">
        <v>0</v>
      </c>
      <c r="I60" s="117" t="n">
        <v>0</v>
      </c>
      <c r="J60" s="140" t="n">
        <v>0</v>
      </c>
      <c r="K60" s="117" t="n">
        <v>0</v>
      </c>
      <c r="L60" s="140" t="n">
        <v>0</v>
      </c>
      <c r="M60" s="117" t="n">
        <v>0</v>
      </c>
      <c r="N60" s="141"/>
      <c r="O60" s="117"/>
      <c r="P60" s="117"/>
      <c r="Q60" s="117"/>
      <c r="R60" s="140"/>
      <c r="S60" s="117" t="n">
        <v>0</v>
      </c>
    </row>
    <row r="61" customFormat="false" ht="12.75" hidden="false" customHeight="false" outlineLevel="0" collapsed="false">
      <c r="A61" s="144"/>
      <c r="B61" s="107" t="n">
        <v>2016</v>
      </c>
      <c r="C61" s="109" t="n">
        <v>18</v>
      </c>
      <c r="D61" s="126" t="n">
        <f aca="false">68+8</f>
        <v>76</v>
      </c>
      <c r="E61" s="109" t="n">
        <f aca="false">104+12</f>
        <v>116</v>
      </c>
      <c r="F61" s="126" t="n">
        <v>45</v>
      </c>
      <c r="G61" s="109" t="n">
        <f aca="false">142+13</f>
        <v>155</v>
      </c>
      <c r="H61" s="126" t="n">
        <v>39</v>
      </c>
      <c r="I61" s="109" t="n">
        <f aca="false">36+5</f>
        <v>41</v>
      </c>
      <c r="J61" s="126" t="n">
        <v>23</v>
      </c>
      <c r="K61" s="109" t="n">
        <v>35</v>
      </c>
      <c r="L61" s="126" t="n">
        <f aca="false">83+9</f>
        <v>92</v>
      </c>
      <c r="M61" s="109" t="n">
        <v>36</v>
      </c>
      <c r="N61" s="137"/>
      <c r="O61" s="109"/>
      <c r="P61" s="109"/>
      <c r="Q61" s="109"/>
      <c r="R61" s="126"/>
      <c r="S61" s="109" t="n">
        <f aca="false">C61+D61+E61+F61+G61+H61+I61+J61+K61+L61+M61+N61</f>
        <v>676</v>
      </c>
    </row>
    <row r="62" customFormat="false" ht="12.75" hidden="false" customHeight="false" outlineLevel="0" collapsed="false">
      <c r="A62" s="138" t="s">
        <v>60</v>
      </c>
      <c r="B62" s="107" t="n">
        <v>2015</v>
      </c>
      <c r="C62" s="109" t="n">
        <v>32</v>
      </c>
      <c r="D62" s="126" t="n">
        <v>86</v>
      </c>
      <c r="E62" s="109" t="n">
        <v>96</v>
      </c>
      <c r="F62" s="126" t="n">
        <v>69</v>
      </c>
      <c r="G62" s="109" t="n">
        <v>181</v>
      </c>
      <c r="H62" s="126" t="n">
        <v>55</v>
      </c>
      <c r="I62" s="109" t="n">
        <v>64</v>
      </c>
      <c r="J62" s="126" t="n">
        <v>28</v>
      </c>
      <c r="K62" s="109" t="n">
        <v>58</v>
      </c>
      <c r="L62" s="126" t="n">
        <v>188</v>
      </c>
      <c r="M62" s="109" t="n">
        <v>40</v>
      </c>
      <c r="N62" s="137"/>
      <c r="O62" s="109"/>
      <c r="P62" s="109"/>
      <c r="Q62" s="109"/>
      <c r="R62" s="126"/>
      <c r="S62" s="109" t="n">
        <f aca="false">C62+D62+E62+F62+G62+H62+I62+J62+K62+L62+M62+N62</f>
        <v>897</v>
      </c>
    </row>
    <row r="63" customFormat="false" ht="12.75" hidden="false" customHeight="false" outlineLevel="0" collapsed="false">
      <c r="A63" s="144"/>
      <c r="B63" s="112" t="s">
        <v>53</v>
      </c>
      <c r="C63" s="109" t="n">
        <f aca="false">C61-C62</f>
        <v>-14</v>
      </c>
      <c r="D63" s="126" t="n">
        <f aca="false">D61-D62</f>
        <v>-10</v>
      </c>
      <c r="E63" s="109" t="n">
        <f aca="false">E61-E62</f>
        <v>20</v>
      </c>
      <c r="F63" s="126" t="n">
        <f aca="false">F61-F62</f>
        <v>-24</v>
      </c>
      <c r="G63" s="109" t="n">
        <f aca="false">G61-G62</f>
        <v>-26</v>
      </c>
      <c r="H63" s="126" t="n">
        <f aca="false">H61-H62</f>
        <v>-16</v>
      </c>
      <c r="I63" s="151" t="n">
        <f aca="false">I61-I62</f>
        <v>-23</v>
      </c>
      <c r="J63" s="151" t="n">
        <f aca="false">J61-J62</f>
        <v>-5</v>
      </c>
      <c r="K63" s="151" t="n">
        <f aca="false">K61-K62</f>
        <v>-23</v>
      </c>
      <c r="L63" s="151" t="n">
        <f aca="false">L61-L62</f>
        <v>-96</v>
      </c>
      <c r="M63" s="109" t="n">
        <f aca="false">M61-M62</f>
        <v>-4</v>
      </c>
      <c r="N63" s="137"/>
      <c r="O63" s="109"/>
      <c r="P63" s="109"/>
      <c r="Q63" s="109"/>
      <c r="R63" s="126"/>
      <c r="S63" s="109" t="n">
        <f aca="false">S61-S62</f>
        <v>-221</v>
      </c>
    </row>
    <row r="64" customFormat="false" ht="13.5" hidden="false" customHeight="false" outlineLevel="0" collapsed="false">
      <c r="A64" s="142"/>
      <c r="B64" s="114" t="s">
        <v>9</v>
      </c>
      <c r="C64" s="117" t="n">
        <f aca="false">C63/C62</f>
        <v>-0.4375</v>
      </c>
      <c r="D64" s="140" t="n">
        <f aca="false">D63/D62</f>
        <v>-0.116279069767442</v>
      </c>
      <c r="E64" s="117" t="n">
        <f aca="false">E63/E62</f>
        <v>0.208333333333333</v>
      </c>
      <c r="F64" s="140" t="n">
        <f aca="false">F63/F62</f>
        <v>-0.347826086956522</v>
      </c>
      <c r="G64" s="117" t="n">
        <f aca="false">G63/G62</f>
        <v>-0.143646408839779</v>
      </c>
      <c r="H64" s="140" t="n">
        <f aca="false">H63/H62</f>
        <v>-0.290909090909091</v>
      </c>
      <c r="I64" s="117" t="n">
        <f aca="false">I63/I62</f>
        <v>-0.359375</v>
      </c>
      <c r="J64" s="140" t="n">
        <f aca="false">J63/J62</f>
        <v>-0.178571428571429</v>
      </c>
      <c r="K64" s="117" t="n">
        <f aca="false">K63/K62</f>
        <v>-0.396551724137931</v>
      </c>
      <c r="L64" s="140" t="n">
        <f aca="false">L63/L62</f>
        <v>-0.51063829787234</v>
      </c>
      <c r="M64" s="117" t="n">
        <f aca="false">M63/M62</f>
        <v>-0.1</v>
      </c>
      <c r="N64" s="141"/>
      <c r="O64" s="117"/>
      <c r="P64" s="117"/>
      <c r="Q64" s="117"/>
      <c r="R64" s="140"/>
      <c r="S64" s="117" t="n">
        <f aca="false">S63/S62</f>
        <v>-0.246376811594203</v>
      </c>
    </row>
    <row r="65" customFormat="false" ht="12.75" hidden="false" customHeight="false" outlineLevel="0" collapsed="false">
      <c r="A65" s="144"/>
      <c r="B65" s="107" t="n">
        <v>2016</v>
      </c>
      <c r="C65" s="109" t="n">
        <v>23</v>
      </c>
      <c r="D65" s="126" t="n">
        <f aca="false">42+7</f>
        <v>49</v>
      </c>
      <c r="E65" s="109" t="n">
        <f aca="false">39+2</f>
        <v>41</v>
      </c>
      <c r="F65" s="126" t="n">
        <f aca="false">48+9</f>
        <v>57</v>
      </c>
      <c r="G65" s="109" t="n">
        <f aca="false">78</f>
        <v>78</v>
      </c>
      <c r="H65" s="126" t="n">
        <f aca="false">19+3</f>
        <v>22</v>
      </c>
      <c r="I65" s="109" t="n">
        <f aca="false">29+6</f>
        <v>35</v>
      </c>
      <c r="J65" s="126" t="n">
        <v>31</v>
      </c>
      <c r="K65" s="109" t="n">
        <v>36</v>
      </c>
      <c r="L65" s="126" t="n">
        <f aca="false">45+6</f>
        <v>51</v>
      </c>
      <c r="M65" s="109" t="n">
        <v>12</v>
      </c>
      <c r="N65" s="137"/>
      <c r="O65" s="109"/>
      <c r="P65" s="109"/>
      <c r="Q65" s="109"/>
      <c r="R65" s="126"/>
      <c r="S65" s="109" t="n">
        <f aca="false">C65+D65+E65+F65+G65+H65+I65+J65+K65+L65+M65+N65</f>
        <v>435</v>
      </c>
    </row>
    <row r="66" customFormat="false" ht="12.75" hidden="false" customHeight="false" outlineLevel="0" collapsed="false">
      <c r="A66" s="138" t="s">
        <v>61</v>
      </c>
      <c r="B66" s="107" t="n">
        <v>2015</v>
      </c>
      <c r="C66" s="109" t="n">
        <v>16</v>
      </c>
      <c r="D66" s="126" t="n">
        <v>42</v>
      </c>
      <c r="E66" s="109" t="n">
        <v>35</v>
      </c>
      <c r="F66" s="126" t="n">
        <v>68</v>
      </c>
      <c r="G66" s="109" t="n">
        <v>58</v>
      </c>
      <c r="H66" s="126" t="n">
        <v>26</v>
      </c>
      <c r="I66" s="109" t="n">
        <v>30</v>
      </c>
      <c r="J66" s="126" t="n">
        <v>20</v>
      </c>
      <c r="K66" s="109" t="n">
        <v>31</v>
      </c>
      <c r="L66" s="126" t="n">
        <v>40</v>
      </c>
      <c r="M66" s="109" t="n">
        <v>14</v>
      </c>
      <c r="N66" s="137"/>
      <c r="O66" s="109"/>
      <c r="P66" s="109"/>
      <c r="Q66" s="109"/>
      <c r="R66" s="126"/>
      <c r="S66" s="109" t="n">
        <f aca="false">C66+D66+E66+F66+G66+H66+I66+J66+K66+L66+M66+N66</f>
        <v>380</v>
      </c>
    </row>
    <row r="67" customFormat="false" ht="12.75" hidden="false" customHeight="false" outlineLevel="0" collapsed="false">
      <c r="A67" s="138" t="s">
        <v>62</v>
      </c>
      <c r="B67" s="112" t="s">
        <v>53</v>
      </c>
      <c r="C67" s="109" t="n">
        <f aca="false">C65-C66</f>
        <v>7</v>
      </c>
      <c r="D67" s="126" t="n">
        <f aca="false">D65-D66</f>
        <v>7</v>
      </c>
      <c r="E67" s="109" t="n">
        <f aca="false">E65-E66</f>
        <v>6</v>
      </c>
      <c r="F67" s="126" t="n">
        <f aca="false">F65-F66</f>
        <v>-11</v>
      </c>
      <c r="G67" s="109" t="n">
        <f aca="false">G65-G66</f>
        <v>20</v>
      </c>
      <c r="H67" s="126" t="n">
        <f aca="false">H65-H66</f>
        <v>-4</v>
      </c>
      <c r="I67" s="109" t="n">
        <f aca="false">I65-I66</f>
        <v>5</v>
      </c>
      <c r="J67" s="126" t="n">
        <f aca="false">J65-J66</f>
        <v>11</v>
      </c>
      <c r="K67" s="109" t="n">
        <f aca="false">K65-K66</f>
        <v>5</v>
      </c>
      <c r="L67" s="109" t="n">
        <f aca="false">L65-L66</f>
        <v>11</v>
      </c>
      <c r="M67" s="109" t="n">
        <f aca="false">M65-M66</f>
        <v>-2</v>
      </c>
      <c r="N67" s="137"/>
      <c r="O67" s="109"/>
      <c r="P67" s="109"/>
      <c r="Q67" s="109"/>
      <c r="R67" s="126"/>
      <c r="S67" s="109" t="n">
        <f aca="false">S65-S66</f>
        <v>55</v>
      </c>
    </row>
    <row r="68" customFormat="false" ht="13.5" hidden="false" customHeight="false" outlineLevel="0" collapsed="false">
      <c r="A68" s="142"/>
      <c r="B68" s="114" t="s">
        <v>9</v>
      </c>
      <c r="C68" s="117" t="n">
        <f aca="false">C67/C66</f>
        <v>0.4375</v>
      </c>
      <c r="D68" s="117" t="n">
        <f aca="false">D67/D66</f>
        <v>0.166666666666667</v>
      </c>
      <c r="E68" s="117" t="n">
        <f aca="false">E67/E66</f>
        <v>0.171428571428571</v>
      </c>
      <c r="F68" s="140" t="n">
        <f aca="false">F67/F66</f>
        <v>-0.161764705882353</v>
      </c>
      <c r="G68" s="117" t="n">
        <f aca="false">G67/G66</f>
        <v>0.344827586206897</v>
      </c>
      <c r="H68" s="117" t="n">
        <f aca="false">H67/H66</f>
        <v>-0.153846153846154</v>
      </c>
      <c r="I68" s="117" t="n">
        <f aca="false">I67/I66</f>
        <v>0.166666666666667</v>
      </c>
      <c r="J68" s="117" t="n">
        <f aca="false">J67/J66</f>
        <v>0.55</v>
      </c>
      <c r="K68" s="117" t="n">
        <f aca="false">K67/K66</f>
        <v>0.161290322580645</v>
      </c>
      <c r="L68" s="117" t="n">
        <f aca="false">L67/L66</f>
        <v>0.275</v>
      </c>
      <c r="M68" s="117" t="n">
        <f aca="false">M67/M66</f>
        <v>-0.142857142857143</v>
      </c>
      <c r="N68" s="141"/>
      <c r="O68" s="117"/>
      <c r="P68" s="117"/>
      <c r="Q68" s="117"/>
      <c r="R68" s="140"/>
      <c r="S68" s="117" t="n">
        <f aca="false">S67/S66</f>
        <v>0.144736842105263</v>
      </c>
    </row>
    <row r="69" customFormat="false" ht="12.75" hidden="false" customHeight="false" outlineLevel="0" collapsed="false">
      <c r="A69" s="144"/>
      <c r="B69" s="107" t="n">
        <v>2016</v>
      </c>
      <c r="C69" s="109" t="n">
        <v>16</v>
      </c>
      <c r="D69" s="126" t="n">
        <f aca="false">49+5</f>
        <v>54</v>
      </c>
      <c r="E69" s="109" t="n">
        <v>56</v>
      </c>
      <c r="F69" s="126" t="n">
        <f aca="false">52+4</f>
        <v>56</v>
      </c>
      <c r="G69" s="109" t="n">
        <f aca="false">141+20</f>
        <v>161</v>
      </c>
      <c r="H69" s="126" t="n">
        <f aca="false">83+11</f>
        <v>94</v>
      </c>
      <c r="I69" s="109" t="n">
        <f aca="false">113+11</f>
        <v>124</v>
      </c>
      <c r="J69" s="126" t="n">
        <v>57</v>
      </c>
      <c r="K69" s="109" t="n">
        <v>48</v>
      </c>
      <c r="L69" s="126" t="n">
        <f aca="false">161+10</f>
        <v>171</v>
      </c>
      <c r="M69" s="109" t="n">
        <f aca="false">49+6</f>
        <v>55</v>
      </c>
      <c r="N69" s="137"/>
      <c r="O69" s="109"/>
      <c r="P69" s="109"/>
      <c r="Q69" s="109"/>
      <c r="R69" s="126"/>
      <c r="S69" s="109" t="n">
        <f aca="false">C69+D69+E69+F69+G69+H69+I69+J69+K69+L69+M69+N69</f>
        <v>892</v>
      </c>
    </row>
    <row r="70" customFormat="false" ht="12.75" hidden="false" customHeight="false" outlineLevel="0" collapsed="false">
      <c r="A70" s="138" t="s">
        <v>63</v>
      </c>
      <c r="B70" s="107" t="n">
        <v>2015</v>
      </c>
      <c r="C70" s="109" t="n">
        <v>19</v>
      </c>
      <c r="D70" s="126" t="n">
        <v>62</v>
      </c>
      <c r="E70" s="109" t="n">
        <v>74</v>
      </c>
      <c r="F70" s="126" t="n">
        <v>63</v>
      </c>
      <c r="G70" s="109" t="n">
        <v>170</v>
      </c>
      <c r="H70" s="126" t="n">
        <v>100</v>
      </c>
      <c r="I70" s="109" t="n">
        <v>140</v>
      </c>
      <c r="J70" s="126" t="n">
        <v>58</v>
      </c>
      <c r="K70" s="109" t="n">
        <v>68</v>
      </c>
      <c r="L70" s="126" t="n">
        <v>207</v>
      </c>
      <c r="M70" s="109" t="n">
        <v>66</v>
      </c>
      <c r="N70" s="137"/>
      <c r="O70" s="109"/>
      <c r="P70" s="109"/>
      <c r="Q70" s="109"/>
      <c r="R70" s="126"/>
      <c r="S70" s="109" t="n">
        <f aca="false">C70+D70+E70+F70+G70+H70+I70+J70+K70+L70+M70+N70</f>
        <v>1027</v>
      </c>
    </row>
    <row r="71" customFormat="false" ht="12.75" hidden="false" customHeight="false" outlineLevel="0" collapsed="false">
      <c r="A71" s="144"/>
      <c r="B71" s="112" t="s">
        <v>53</v>
      </c>
      <c r="C71" s="109" t="n">
        <f aca="false">C69-C70</f>
        <v>-3</v>
      </c>
      <c r="D71" s="126" t="n">
        <f aca="false">D69-D70</f>
        <v>-8</v>
      </c>
      <c r="E71" s="109" t="n">
        <f aca="false">E69-E70</f>
        <v>-18</v>
      </c>
      <c r="F71" s="126" t="n">
        <f aca="false">F69-F70</f>
        <v>-7</v>
      </c>
      <c r="G71" s="109" t="n">
        <f aca="false">G69-G70</f>
        <v>-9</v>
      </c>
      <c r="H71" s="126" t="n">
        <f aca="false">H69-H70</f>
        <v>-6</v>
      </c>
      <c r="I71" s="109" t="n">
        <f aca="false">I69-I70</f>
        <v>-16</v>
      </c>
      <c r="J71" s="126" t="n">
        <f aca="false">J69-J70</f>
        <v>-1</v>
      </c>
      <c r="K71" s="109" t="n">
        <f aca="false">K69-K70</f>
        <v>-20</v>
      </c>
      <c r="L71" s="126" t="n">
        <f aca="false">L69-L70</f>
        <v>-36</v>
      </c>
      <c r="M71" s="109" t="n">
        <f aca="false">M69-M70</f>
        <v>-11</v>
      </c>
      <c r="N71" s="137"/>
      <c r="O71" s="109"/>
      <c r="P71" s="109"/>
      <c r="Q71" s="109"/>
      <c r="R71" s="126"/>
      <c r="S71" s="109" t="n">
        <f aca="false">S69-S70</f>
        <v>-135</v>
      </c>
    </row>
    <row r="72" customFormat="false" ht="13.5" hidden="false" customHeight="false" outlineLevel="0" collapsed="false">
      <c r="A72" s="142"/>
      <c r="B72" s="114" t="s">
        <v>9</v>
      </c>
      <c r="C72" s="117" t="n">
        <f aca="false">C71/C70</f>
        <v>-0.157894736842105</v>
      </c>
      <c r="D72" s="140" t="n">
        <f aca="false">D71/D70</f>
        <v>-0.129032258064516</v>
      </c>
      <c r="E72" s="117" t="n">
        <f aca="false">E71/E70</f>
        <v>-0.243243243243243</v>
      </c>
      <c r="F72" s="140" t="n">
        <f aca="false">F71/F70</f>
        <v>-0.111111111111111</v>
      </c>
      <c r="G72" s="117" t="n">
        <f aca="false">G71/G70</f>
        <v>-0.0529411764705882</v>
      </c>
      <c r="H72" s="140" t="n">
        <f aca="false">H71/H70</f>
        <v>-0.06</v>
      </c>
      <c r="I72" s="117" t="n">
        <f aca="false">I71/I70</f>
        <v>-0.114285714285714</v>
      </c>
      <c r="J72" s="140" t="n">
        <f aca="false">J71/J70</f>
        <v>-0.0172413793103448</v>
      </c>
      <c r="K72" s="117" t="n">
        <f aca="false">K71/K70</f>
        <v>-0.294117647058824</v>
      </c>
      <c r="L72" s="140" t="n">
        <f aca="false">L71/L70</f>
        <v>-0.173913043478261</v>
      </c>
      <c r="M72" s="117" t="n">
        <f aca="false">M71/M70</f>
        <v>-0.166666666666667</v>
      </c>
      <c r="N72" s="141"/>
      <c r="O72" s="117"/>
      <c r="P72" s="117"/>
      <c r="Q72" s="117"/>
      <c r="R72" s="140"/>
      <c r="S72" s="117" t="n">
        <f aca="false">S71/S70</f>
        <v>-0.131450827653359</v>
      </c>
    </row>
    <row r="73" customFormat="false" ht="12.75" hidden="false" customHeight="false" outlineLevel="0" collapsed="false">
      <c r="A73" s="144"/>
      <c r="B73" s="107" t="n">
        <v>2016</v>
      </c>
      <c r="C73" s="109" t="n">
        <f aca="false">207+22</f>
        <v>229</v>
      </c>
      <c r="D73" s="152" t="n">
        <f aca="false">476+61</f>
        <v>537</v>
      </c>
      <c r="E73" s="109" t="n">
        <f aca="false">399+66</f>
        <v>465</v>
      </c>
      <c r="F73" s="126" t="n">
        <f aca="false">194+15</f>
        <v>209</v>
      </c>
      <c r="G73" s="109" t="n">
        <f aca="false">436+52</f>
        <v>488</v>
      </c>
      <c r="H73" s="126" t="n">
        <f aca="false">185+25</f>
        <v>210</v>
      </c>
      <c r="I73" s="109" t="n">
        <f aca="false">188+15</f>
        <v>203</v>
      </c>
      <c r="J73" s="126" t="n">
        <f aca="false">205+24</f>
        <v>229</v>
      </c>
      <c r="K73" s="109" t="n">
        <f aca="false">258+27</f>
        <v>285</v>
      </c>
      <c r="L73" s="126" t="n">
        <f aca="false">392+52</f>
        <v>444</v>
      </c>
      <c r="M73" s="109" t="n">
        <f aca="false">515+44</f>
        <v>559</v>
      </c>
      <c r="N73" s="137"/>
      <c r="O73" s="109"/>
      <c r="P73" s="109"/>
      <c r="Q73" s="109"/>
      <c r="R73" s="126"/>
      <c r="S73" s="109" t="n">
        <f aca="false">C73+D73+E73+F73+G73+H73+I73+J73+K73+L73+M73+N73</f>
        <v>3858</v>
      </c>
    </row>
    <row r="74" customFormat="false" ht="12.75" hidden="false" customHeight="false" outlineLevel="0" collapsed="false">
      <c r="A74" s="138" t="s">
        <v>64</v>
      </c>
      <c r="B74" s="107" t="n">
        <v>2015</v>
      </c>
      <c r="C74" s="109" t="n">
        <v>279</v>
      </c>
      <c r="D74" s="126" t="n">
        <v>517</v>
      </c>
      <c r="E74" s="109" t="n">
        <v>429</v>
      </c>
      <c r="F74" s="126" t="n">
        <v>159</v>
      </c>
      <c r="G74" s="109" t="n">
        <v>510</v>
      </c>
      <c r="H74" s="126" t="n">
        <v>240</v>
      </c>
      <c r="I74" s="109" t="n">
        <v>226</v>
      </c>
      <c r="J74" s="126" t="n">
        <v>184</v>
      </c>
      <c r="K74" s="109" t="n">
        <v>266</v>
      </c>
      <c r="L74" s="126" t="n">
        <v>397</v>
      </c>
      <c r="M74" s="109" t="n">
        <v>500</v>
      </c>
      <c r="N74" s="137"/>
      <c r="O74" s="109"/>
      <c r="P74" s="109"/>
      <c r="Q74" s="109"/>
      <c r="R74" s="126"/>
      <c r="S74" s="109" t="n">
        <f aca="false">C74+D74+E74+F74+G74+H74+I74+J74+K74+L74+M74+N74</f>
        <v>3707</v>
      </c>
    </row>
    <row r="75" customFormat="false" ht="12.75" hidden="false" customHeight="false" outlineLevel="0" collapsed="false">
      <c r="A75" s="138" t="s">
        <v>65</v>
      </c>
      <c r="B75" s="112" t="s">
        <v>53</v>
      </c>
      <c r="C75" s="109" t="n">
        <f aca="false">C73-C74</f>
        <v>-50</v>
      </c>
      <c r="D75" s="126" t="n">
        <f aca="false">D73-D74</f>
        <v>20</v>
      </c>
      <c r="E75" s="109" t="n">
        <f aca="false">E73-E74</f>
        <v>36</v>
      </c>
      <c r="F75" s="126" t="n">
        <f aca="false">F73-F74</f>
        <v>50</v>
      </c>
      <c r="G75" s="109" t="n">
        <f aca="false">G73-G74</f>
        <v>-22</v>
      </c>
      <c r="H75" s="126" t="n">
        <f aca="false">H73-H74</f>
        <v>-30</v>
      </c>
      <c r="I75" s="109" t="n">
        <f aca="false">I73-I74</f>
        <v>-23</v>
      </c>
      <c r="J75" s="126" t="n">
        <f aca="false">J73-J74</f>
        <v>45</v>
      </c>
      <c r="K75" s="109" t="n">
        <f aca="false">K73-K74</f>
        <v>19</v>
      </c>
      <c r="L75" s="126" t="n">
        <f aca="false">L73-L74</f>
        <v>47</v>
      </c>
      <c r="M75" s="151" t="n">
        <f aca="false">M73-M74</f>
        <v>59</v>
      </c>
      <c r="N75" s="137"/>
      <c r="O75" s="109"/>
      <c r="P75" s="109"/>
      <c r="Q75" s="109"/>
      <c r="R75" s="126"/>
      <c r="S75" s="109" t="n">
        <f aca="false">S73-S74</f>
        <v>151</v>
      </c>
    </row>
    <row r="76" customFormat="false" ht="13.5" hidden="false" customHeight="false" outlineLevel="0" collapsed="false">
      <c r="A76" s="142"/>
      <c r="B76" s="114" t="s">
        <v>9</v>
      </c>
      <c r="C76" s="117" t="n">
        <f aca="false">C75/C74</f>
        <v>-0.17921146953405</v>
      </c>
      <c r="D76" s="140" t="n">
        <f aca="false">D75/D74</f>
        <v>0.0386847195357834</v>
      </c>
      <c r="E76" s="117" t="n">
        <f aca="false">E75/E74</f>
        <v>0.0839160839160839</v>
      </c>
      <c r="F76" s="140" t="n">
        <f aca="false">F75/F74</f>
        <v>0.314465408805031</v>
      </c>
      <c r="G76" s="117" t="n">
        <f aca="false">G75/G74</f>
        <v>-0.0431372549019608</v>
      </c>
      <c r="H76" s="140" t="n">
        <f aca="false">H75/H74</f>
        <v>-0.125</v>
      </c>
      <c r="I76" s="117" t="n">
        <f aca="false">I75/I74</f>
        <v>-0.101769911504425</v>
      </c>
      <c r="J76" s="140" t="n">
        <f aca="false">J75/J74</f>
        <v>0.244565217391304</v>
      </c>
      <c r="K76" s="117" t="n">
        <f aca="false">K75/K74</f>
        <v>0.0714285714285714</v>
      </c>
      <c r="L76" s="140" t="n">
        <f aca="false">L75/L74</f>
        <v>0.118387909319899</v>
      </c>
      <c r="M76" s="143" t="n">
        <f aca="false">M75/M74</f>
        <v>0.118</v>
      </c>
      <c r="N76" s="141"/>
      <c r="O76" s="117"/>
      <c r="P76" s="117"/>
      <c r="Q76" s="117"/>
      <c r="R76" s="140"/>
      <c r="S76" s="117" t="n">
        <f aca="false">S75/S74</f>
        <v>0.040733746965201</v>
      </c>
    </row>
    <row r="77" customFormat="false" ht="12.75" hidden="false" customHeight="false" outlineLevel="0" collapsed="false">
      <c r="A77" s="144"/>
      <c r="B77" s="107" t="n">
        <v>2016</v>
      </c>
      <c r="C77" s="109" t="n">
        <f aca="false">17+3</f>
        <v>20</v>
      </c>
      <c r="D77" s="126" t="n">
        <f aca="false">114+19</f>
        <v>133</v>
      </c>
      <c r="E77" s="109" t="n">
        <f aca="false">49+3</f>
        <v>52</v>
      </c>
      <c r="F77" s="152" t="n">
        <v>33</v>
      </c>
      <c r="G77" s="109" t="n">
        <f aca="false">88+14</f>
        <v>102</v>
      </c>
      <c r="H77" s="126" t="n">
        <f aca="false">16+3</f>
        <v>19</v>
      </c>
      <c r="I77" s="109" t="n">
        <f aca="false">35+3</f>
        <v>38</v>
      </c>
      <c r="J77" s="126" t="n">
        <v>29</v>
      </c>
      <c r="K77" s="109" t="n">
        <v>55</v>
      </c>
      <c r="L77" s="126" t="n">
        <f aca="false">160+16</f>
        <v>176</v>
      </c>
      <c r="M77" s="109" t="n">
        <f aca="false">109+7</f>
        <v>116</v>
      </c>
      <c r="N77" s="137"/>
      <c r="O77" s="109"/>
      <c r="P77" s="109"/>
      <c r="Q77" s="109"/>
      <c r="R77" s="126"/>
      <c r="S77" s="109" t="n">
        <f aca="false">C77+D77+E77+F77+G77+H77+I77+J77+K77+L77+M77+N77</f>
        <v>773</v>
      </c>
    </row>
    <row r="78" customFormat="false" ht="12.75" hidden="false" customHeight="false" outlineLevel="0" collapsed="false">
      <c r="A78" s="138" t="s">
        <v>66</v>
      </c>
      <c r="B78" s="107" t="n">
        <v>2015</v>
      </c>
      <c r="C78" s="109" t="n">
        <v>35</v>
      </c>
      <c r="D78" s="126" t="n">
        <v>104</v>
      </c>
      <c r="E78" s="109" t="n">
        <v>80</v>
      </c>
      <c r="F78" s="126" t="n">
        <v>59</v>
      </c>
      <c r="G78" s="109" t="n">
        <v>148</v>
      </c>
      <c r="H78" s="126" t="n">
        <v>27</v>
      </c>
      <c r="I78" s="109" t="n">
        <v>28</v>
      </c>
      <c r="J78" s="126" t="n">
        <v>16</v>
      </c>
      <c r="K78" s="109" t="n">
        <v>50</v>
      </c>
      <c r="L78" s="126" t="n">
        <v>168</v>
      </c>
      <c r="M78" s="109" t="n">
        <v>109</v>
      </c>
      <c r="N78" s="137"/>
      <c r="O78" s="109"/>
      <c r="P78" s="109"/>
      <c r="Q78" s="109"/>
      <c r="R78" s="126"/>
      <c r="S78" s="109" t="n">
        <f aca="false">C78+D78+E78+F78+G78+H78+I78+J78+K78+L78+M78+N78</f>
        <v>824</v>
      </c>
    </row>
    <row r="79" customFormat="false" ht="12.75" hidden="false" customHeight="false" outlineLevel="0" collapsed="false">
      <c r="A79" s="138" t="s">
        <v>67</v>
      </c>
      <c r="B79" s="112" t="s">
        <v>53</v>
      </c>
      <c r="C79" s="109" t="n">
        <f aca="false">C77-C78</f>
        <v>-15</v>
      </c>
      <c r="D79" s="126" t="n">
        <f aca="false">D77-D78</f>
        <v>29</v>
      </c>
      <c r="E79" s="109" t="n">
        <f aca="false">E77-E78</f>
        <v>-28</v>
      </c>
      <c r="F79" s="126" t="n">
        <f aca="false">F77-F78</f>
        <v>-26</v>
      </c>
      <c r="G79" s="109" t="n">
        <f aca="false">G77-G78</f>
        <v>-46</v>
      </c>
      <c r="H79" s="126" t="n">
        <f aca="false">H77-H78</f>
        <v>-8</v>
      </c>
      <c r="I79" s="109" t="n">
        <f aca="false">I77-I78</f>
        <v>10</v>
      </c>
      <c r="J79" s="126" t="n">
        <f aca="false">J77-J78</f>
        <v>13</v>
      </c>
      <c r="K79" s="109" t="n">
        <f aca="false">K77-K78</f>
        <v>5</v>
      </c>
      <c r="L79" s="126" t="n">
        <f aca="false">L77-L78</f>
        <v>8</v>
      </c>
      <c r="M79" s="109" t="n">
        <f aca="false">M77-M78</f>
        <v>7</v>
      </c>
      <c r="N79" s="137"/>
      <c r="O79" s="109"/>
      <c r="P79" s="109"/>
      <c r="Q79" s="109"/>
      <c r="R79" s="126"/>
      <c r="S79" s="109" t="n">
        <f aca="false">S77-S78</f>
        <v>-51</v>
      </c>
    </row>
    <row r="80" customFormat="false" ht="13.5" hidden="false" customHeight="false" outlineLevel="0" collapsed="false">
      <c r="A80" s="153"/>
      <c r="B80" s="114" t="s">
        <v>9</v>
      </c>
      <c r="C80" s="117" t="n">
        <f aca="false">C79/C78</f>
        <v>-0.428571428571429</v>
      </c>
      <c r="D80" s="140" t="n">
        <f aca="false">D79/D78</f>
        <v>0.278846153846154</v>
      </c>
      <c r="E80" s="117" t="n">
        <f aca="false">E79/E78</f>
        <v>-0.35</v>
      </c>
      <c r="F80" s="140" t="n">
        <f aca="false">F79/F78</f>
        <v>-0.440677966101695</v>
      </c>
      <c r="G80" s="117" t="n">
        <f aca="false">G79/G78</f>
        <v>-0.310810810810811</v>
      </c>
      <c r="H80" s="117" t="n">
        <f aca="false">H79/H78</f>
        <v>-0.296296296296296</v>
      </c>
      <c r="I80" s="117" t="n">
        <f aca="false">I79/I78</f>
        <v>0.357142857142857</v>
      </c>
      <c r="J80" s="140" t="n">
        <f aca="false">J79/J78</f>
        <v>0.8125</v>
      </c>
      <c r="K80" s="117" t="n">
        <f aca="false">K79/K78</f>
        <v>0.1</v>
      </c>
      <c r="L80" s="140" t="n">
        <f aca="false">L79/L78</f>
        <v>0.0476190476190476</v>
      </c>
      <c r="M80" s="117" t="n">
        <f aca="false">M79/M78</f>
        <v>0.0642201834862385</v>
      </c>
      <c r="N80" s="141"/>
      <c r="O80" s="117"/>
      <c r="P80" s="117"/>
      <c r="Q80" s="117"/>
      <c r="R80" s="140"/>
      <c r="S80" s="117" t="n">
        <f aca="false">S79/S78</f>
        <v>-0.0618932038834951</v>
      </c>
    </row>
    <row r="81" customFormat="false" ht="13.5" hidden="false" customHeight="false" outlineLevel="0" collapsed="false">
      <c r="A81" s="154" t="s">
        <v>81</v>
      </c>
      <c r="B81" s="124"/>
      <c r="C81" s="125"/>
      <c r="D81" s="125"/>
      <c r="E81" s="125"/>
      <c r="F81" s="125"/>
      <c r="G81" s="125"/>
      <c r="H81" s="125"/>
      <c r="I81" s="125"/>
      <c r="J81" s="125"/>
      <c r="K81" s="125"/>
      <c r="L81" s="125"/>
      <c r="M81" s="125"/>
      <c r="N81" s="155"/>
      <c r="O81" s="125"/>
      <c r="P81" s="125"/>
      <c r="Q81" s="125"/>
      <c r="R81" s="125"/>
      <c r="S81" s="125"/>
    </row>
    <row r="82" customFormat="false" ht="23.25" hidden="false" customHeight="false" outlineLevel="0" collapsed="false">
      <c r="A82" s="127"/>
      <c r="B82" s="128"/>
      <c r="C82" s="129" t="s">
        <v>82</v>
      </c>
      <c r="D82" s="131" t="s">
        <v>83</v>
      </c>
      <c r="E82" s="129" t="s">
        <v>84</v>
      </c>
      <c r="F82" s="129" t="s">
        <v>85</v>
      </c>
      <c r="G82" s="130" t="s">
        <v>86</v>
      </c>
      <c r="H82" s="129" t="s">
        <v>87</v>
      </c>
      <c r="I82" s="130" t="s">
        <v>88</v>
      </c>
      <c r="J82" s="129" t="s">
        <v>89</v>
      </c>
      <c r="K82" s="129" t="s">
        <v>90</v>
      </c>
      <c r="L82" s="129" t="s">
        <v>91</v>
      </c>
      <c r="M82" s="129"/>
      <c r="N82" s="156"/>
      <c r="O82" s="134"/>
      <c r="P82" s="134"/>
      <c r="Q82" s="134"/>
      <c r="R82" s="135"/>
      <c r="S82" s="134" t="s">
        <v>51</v>
      </c>
    </row>
    <row r="83" customFormat="false" ht="12.75" hidden="false" customHeight="false" outlineLevel="0" collapsed="false">
      <c r="A83" s="136"/>
      <c r="B83" s="107" t="n">
        <v>2016</v>
      </c>
      <c r="C83" s="109" t="n">
        <f aca="false">C87+C91+C99+C103+C107+C111+C115</f>
        <v>483</v>
      </c>
      <c r="D83" s="109" t="n">
        <f aca="false">D87+D91+D99+D103+D107+D111+D115</f>
        <v>211</v>
      </c>
      <c r="E83" s="109" t="n">
        <f aca="false">E87+E91+E99+E103+E107+E111+E115</f>
        <v>381</v>
      </c>
      <c r="F83" s="109" t="n">
        <f aca="false">F87+F91+F99+F103+F107+F111+F115</f>
        <v>225</v>
      </c>
      <c r="G83" s="137" t="n">
        <f aca="false">G87+G91+G99+G103+G107+G111+G115</f>
        <v>113</v>
      </c>
      <c r="H83" s="109" t="n">
        <f aca="false">H87+H91+H99+H103+H107+H111+H115</f>
        <v>94</v>
      </c>
      <c r="I83" s="109" t="n">
        <f aca="false">I87+I91+I99+I103+I107+I111+I115</f>
        <v>536</v>
      </c>
      <c r="J83" s="109" t="n">
        <f aca="false">J87+J91+J99+J103+J107+J111+J115</f>
        <v>424</v>
      </c>
      <c r="K83" s="109" t="n">
        <f aca="false">K87+K91+K99+K103+K107+K111+K115</f>
        <v>263</v>
      </c>
      <c r="L83" s="137" t="n">
        <f aca="false">L87+L91+L99+L103+L107+L111+L115</f>
        <v>145</v>
      </c>
      <c r="M83" s="109"/>
      <c r="N83" s="109"/>
      <c r="O83" s="109"/>
      <c r="P83" s="109"/>
      <c r="Q83" s="109"/>
      <c r="R83" s="137"/>
      <c r="S83" s="109" t="n">
        <f aca="false">S87+S91+S99+S103+S107+S111+S115</f>
        <v>2875</v>
      </c>
    </row>
    <row r="84" customFormat="false" ht="12.75" hidden="false" customHeight="false" outlineLevel="0" collapsed="false">
      <c r="A84" s="138" t="s">
        <v>52</v>
      </c>
      <c r="B84" s="107" t="n">
        <v>2015</v>
      </c>
      <c r="C84" s="109" t="n">
        <f aca="false">C88+C92+C100+C104+C108+C112+C116</f>
        <v>575</v>
      </c>
      <c r="D84" s="109" t="n">
        <f aca="false">D88+D92+D100+D104+D108+D112+D116</f>
        <v>236</v>
      </c>
      <c r="E84" s="109" t="n">
        <f aca="false">E88+E92+E100+E104+E108+E112+E116</f>
        <v>447</v>
      </c>
      <c r="F84" s="109" t="n">
        <f aca="false">F88+F92+F100+F104+F108+F112+F116</f>
        <v>262</v>
      </c>
      <c r="G84" s="137" t="n">
        <f aca="false">G88+G92+G100+G104+G108+G112+G116</f>
        <v>144</v>
      </c>
      <c r="H84" s="109" t="n">
        <f aca="false">H88+H92+H100+H104+H108+H112+H116</f>
        <v>81</v>
      </c>
      <c r="I84" s="109" t="n">
        <f aca="false">I88+I92+I100+I104+I108+I112+I116</f>
        <v>568</v>
      </c>
      <c r="J84" s="109" t="n">
        <f aca="false">J88+J92+J100+J104+J108+J112+J116</f>
        <v>575</v>
      </c>
      <c r="K84" s="109" t="n">
        <f aca="false">K88+K92+K100+K104+K108+K112+K116</f>
        <v>318</v>
      </c>
      <c r="L84" s="137" t="n">
        <f aca="false">L88+L92+L100+L104+L108+L112+L116</f>
        <v>162</v>
      </c>
      <c r="M84" s="109"/>
      <c r="N84" s="109"/>
      <c r="O84" s="109"/>
      <c r="P84" s="109"/>
      <c r="Q84" s="109"/>
      <c r="R84" s="137"/>
      <c r="S84" s="109" t="n">
        <f aca="false">S88+S92+S100+S104+S108+S112+S116</f>
        <v>3368</v>
      </c>
    </row>
    <row r="85" customFormat="false" ht="12.75" hidden="false" customHeight="false" outlineLevel="0" collapsed="false">
      <c r="A85" s="136"/>
      <c r="B85" s="112" t="s">
        <v>53</v>
      </c>
      <c r="C85" s="109" t="n">
        <f aca="false">C83-C84</f>
        <v>-92</v>
      </c>
      <c r="D85" s="126" t="n">
        <f aca="false">D83-D84</f>
        <v>-25</v>
      </c>
      <c r="E85" s="109" t="n">
        <f aca="false">E83-E84</f>
        <v>-66</v>
      </c>
      <c r="F85" s="109" t="n">
        <f aca="false">F83-F84</f>
        <v>-37</v>
      </c>
      <c r="G85" s="126" t="n">
        <f aca="false">G83-G84</f>
        <v>-31</v>
      </c>
      <c r="H85" s="109" t="n">
        <f aca="false">H83-H84</f>
        <v>13</v>
      </c>
      <c r="I85" s="126" t="n">
        <f aca="false">I83-I84</f>
        <v>-32</v>
      </c>
      <c r="J85" s="109" t="n">
        <f aca="false">J83-J84</f>
        <v>-151</v>
      </c>
      <c r="K85" s="109" t="n">
        <f aca="false">K83-K84</f>
        <v>-55</v>
      </c>
      <c r="L85" s="126" t="n">
        <f aca="false">L83-L84</f>
        <v>-17</v>
      </c>
      <c r="M85" s="109"/>
      <c r="N85" s="137"/>
      <c r="O85" s="109"/>
      <c r="P85" s="109"/>
      <c r="Q85" s="109"/>
      <c r="R85" s="126"/>
      <c r="S85" s="109" t="n">
        <f aca="false">S83-S84</f>
        <v>-493</v>
      </c>
    </row>
    <row r="86" customFormat="false" ht="13.5" hidden="false" customHeight="false" outlineLevel="0" collapsed="false">
      <c r="A86" s="139"/>
      <c r="B86" s="114" t="s">
        <v>9</v>
      </c>
      <c r="C86" s="117" t="n">
        <f aca="false">C85/C84</f>
        <v>-0.16</v>
      </c>
      <c r="D86" s="140" t="n">
        <f aca="false">D85/D84</f>
        <v>-0.105932203389831</v>
      </c>
      <c r="E86" s="117" t="n">
        <f aca="false">E85/E84</f>
        <v>-0.147651006711409</v>
      </c>
      <c r="F86" s="117" t="n">
        <f aca="false">F85/F84</f>
        <v>-0.141221374045802</v>
      </c>
      <c r="G86" s="140" t="n">
        <f aca="false">G85/G84</f>
        <v>-0.215277777777778</v>
      </c>
      <c r="H86" s="117" t="n">
        <f aca="false">H85/H84</f>
        <v>0.160493827160494</v>
      </c>
      <c r="I86" s="140" t="n">
        <f aca="false">I85/I84</f>
        <v>-0.0563380281690141</v>
      </c>
      <c r="J86" s="117" t="n">
        <f aca="false">J85/J84</f>
        <v>-0.262608695652174</v>
      </c>
      <c r="K86" s="117" t="n">
        <f aca="false">K85/K84</f>
        <v>-0.172955974842767</v>
      </c>
      <c r="L86" s="140" t="n">
        <f aca="false">L85/L84</f>
        <v>-0.104938271604938</v>
      </c>
      <c r="M86" s="117"/>
      <c r="N86" s="141"/>
      <c r="O86" s="117"/>
      <c r="P86" s="117"/>
      <c r="Q86" s="117"/>
      <c r="R86" s="140"/>
      <c r="S86" s="117" t="n">
        <f aca="false">S85/S84</f>
        <v>-0.146377672209026</v>
      </c>
    </row>
    <row r="87" customFormat="false" ht="12.75" hidden="false" customHeight="false" outlineLevel="0" collapsed="false">
      <c r="A87" s="136"/>
      <c r="B87" s="107" t="n">
        <v>2016</v>
      </c>
      <c r="C87" s="109" t="n">
        <v>4</v>
      </c>
      <c r="D87" s="126" t="n">
        <v>3</v>
      </c>
      <c r="E87" s="109" t="n">
        <v>2</v>
      </c>
      <c r="F87" s="109" t="n">
        <v>0</v>
      </c>
      <c r="G87" s="152" t="n">
        <v>3</v>
      </c>
      <c r="H87" s="109" t="n">
        <v>1</v>
      </c>
      <c r="I87" s="126" t="n">
        <v>2</v>
      </c>
      <c r="J87" s="109" t="n">
        <v>5</v>
      </c>
      <c r="K87" s="109" t="n">
        <v>4</v>
      </c>
      <c r="L87" s="126" t="n">
        <v>0</v>
      </c>
      <c r="M87" s="109"/>
      <c r="N87" s="137"/>
      <c r="O87" s="109"/>
      <c r="P87" s="109"/>
      <c r="Q87" s="109"/>
      <c r="R87" s="126"/>
      <c r="S87" s="109" t="n">
        <f aca="false">C87+D87+E87+F87+G87+H87+I87+J87+K87+L87</f>
        <v>24</v>
      </c>
    </row>
    <row r="88" customFormat="false" ht="12.75" hidden="false" customHeight="false" outlineLevel="0" collapsed="false">
      <c r="A88" s="138" t="s">
        <v>54</v>
      </c>
      <c r="B88" s="107" t="n">
        <v>2015</v>
      </c>
      <c r="C88" s="109" t="n">
        <v>5</v>
      </c>
      <c r="D88" s="126" t="n">
        <v>1</v>
      </c>
      <c r="E88" s="109" t="n">
        <v>0</v>
      </c>
      <c r="F88" s="109" t="n">
        <v>1</v>
      </c>
      <c r="G88" s="126" t="n">
        <v>2</v>
      </c>
      <c r="H88" s="109" t="n">
        <v>1</v>
      </c>
      <c r="I88" s="126" t="n">
        <v>2</v>
      </c>
      <c r="J88" s="109" t="n">
        <v>5</v>
      </c>
      <c r="K88" s="109" t="n">
        <v>1</v>
      </c>
      <c r="L88" s="126" t="n">
        <v>0</v>
      </c>
      <c r="M88" s="109"/>
      <c r="N88" s="137"/>
      <c r="O88" s="109"/>
      <c r="P88" s="109"/>
      <c r="Q88" s="109"/>
      <c r="R88" s="126"/>
      <c r="S88" s="109" t="n">
        <f aca="false">C88+D88+E88+F88+G88+H88+I88+J88+K88+L88</f>
        <v>18</v>
      </c>
    </row>
    <row r="89" customFormat="false" ht="12.75" hidden="false" customHeight="false" outlineLevel="0" collapsed="false">
      <c r="A89" s="138" t="s">
        <v>55</v>
      </c>
      <c r="B89" s="112" t="s">
        <v>53</v>
      </c>
      <c r="C89" s="109" t="n">
        <f aca="false">C87-C88</f>
        <v>-1</v>
      </c>
      <c r="D89" s="151" t="n">
        <f aca="false">D87-D88</f>
        <v>2</v>
      </c>
      <c r="E89" s="126" t="n">
        <f aca="false">E87-E88</f>
        <v>2</v>
      </c>
      <c r="F89" s="109" t="n">
        <f aca="false">F87-F88</f>
        <v>-1</v>
      </c>
      <c r="G89" s="109" t="n">
        <f aca="false">G87-G88</f>
        <v>1</v>
      </c>
      <c r="H89" s="109" t="n">
        <f aca="false">H87-H88</f>
        <v>0</v>
      </c>
      <c r="I89" s="126" t="n">
        <f aca="false">I87-I88</f>
        <v>0</v>
      </c>
      <c r="J89" s="109" t="n">
        <f aca="false">J87-J88</f>
        <v>0</v>
      </c>
      <c r="K89" s="109" t="n">
        <f aca="false">K87-K88</f>
        <v>3</v>
      </c>
      <c r="L89" s="126" t="n">
        <f aca="false">L87-L88</f>
        <v>0</v>
      </c>
      <c r="M89" s="109"/>
      <c r="N89" s="137"/>
      <c r="O89" s="109"/>
      <c r="P89" s="109"/>
      <c r="Q89" s="109"/>
      <c r="R89" s="126"/>
      <c r="S89" s="109" t="n">
        <f aca="false">S87-S88</f>
        <v>6</v>
      </c>
    </row>
    <row r="90" customFormat="false" ht="13.5" hidden="false" customHeight="false" outlineLevel="0" collapsed="false">
      <c r="A90" s="153"/>
      <c r="B90" s="114" t="s">
        <v>9</v>
      </c>
      <c r="C90" s="117" t="n">
        <f aca="false">C89/C88</f>
        <v>-0.2</v>
      </c>
      <c r="D90" s="117" t="n">
        <f aca="false">D89/D88</f>
        <v>2</v>
      </c>
      <c r="E90" s="117" t="n">
        <v>0</v>
      </c>
      <c r="F90" s="117" t="n">
        <f aca="false">F89/F88</f>
        <v>-1</v>
      </c>
      <c r="G90" s="117" t="n">
        <f aca="false">G89/G88</f>
        <v>0.5</v>
      </c>
      <c r="H90" s="117" t="n">
        <f aca="false">H89/H88</f>
        <v>0</v>
      </c>
      <c r="I90" s="117" t="n">
        <f aca="false">I89/I88</f>
        <v>0</v>
      </c>
      <c r="J90" s="117" t="n">
        <f aca="false">J89/J88</f>
        <v>0</v>
      </c>
      <c r="K90" s="117" t="n">
        <f aca="false">K89/K88</f>
        <v>3</v>
      </c>
      <c r="L90" s="117" t="n">
        <v>0</v>
      </c>
      <c r="M90" s="117"/>
      <c r="N90" s="141"/>
      <c r="O90" s="117"/>
      <c r="P90" s="117"/>
      <c r="Q90" s="117"/>
      <c r="R90" s="140"/>
      <c r="S90" s="117" t="n">
        <f aca="false">S89/S88</f>
        <v>0.333333333333333</v>
      </c>
    </row>
    <row r="91" customFormat="false" ht="12.75" hidden="false" customHeight="false" outlineLevel="0" collapsed="false">
      <c r="A91" s="157"/>
      <c r="B91" s="107" t="n">
        <v>2016</v>
      </c>
      <c r="C91" s="109" t="n">
        <v>1</v>
      </c>
      <c r="D91" s="126" t="n">
        <v>2</v>
      </c>
      <c r="E91" s="109" t="n">
        <v>0</v>
      </c>
      <c r="F91" s="109" t="n">
        <v>1</v>
      </c>
      <c r="G91" s="126" t="n">
        <v>0</v>
      </c>
      <c r="H91" s="109" t="n">
        <v>1</v>
      </c>
      <c r="I91" s="126" t="n">
        <v>0</v>
      </c>
      <c r="J91" s="109" t="n">
        <v>0</v>
      </c>
      <c r="K91" s="109" t="n">
        <v>0</v>
      </c>
      <c r="L91" s="126" t="n">
        <v>0</v>
      </c>
      <c r="M91" s="109"/>
      <c r="N91" s="137"/>
      <c r="O91" s="109"/>
      <c r="P91" s="109"/>
      <c r="Q91" s="109"/>
      <c r="R91" s="126"/>
      <c r="S91" s="109" t="n">
        <f aca="false">C91+D91+E91+F91+G91+H91+I91+J91+K91+L91</f>
        <v>5</v>
      </c>
    </row>
    <row r="92" customFormat="false" ht="12.75" hidden="false" customHeight="false" outlineLevel="0" collapsed="false">
      <c r="A92" s="138" t="s">
        <v>56</v>
      </c>
      <c r="B92" s="107" t="n">
        <v>2015</v>
      </c>
      <c r="C92" s="109" t="n">
        <v>0</v>
      </c>
      <c r="D92" s="126" t="n">
        <v>2</v>
      </c>
      <c r="E92" s="109" t="n">
        <v>0</v>
      </c>
      <c r="F92" s="109" t="n">
        <v>2</v>
      </c>
      <c r="G92" s="126" t="n">
        <v>0</v>
      </c>
      <c r="H92" s="109" t="n">
        <v>1</v>
      </c>
      <c r="I92" s="126" t="n">
        <v>0</v>
      </c>
      <c r="J92" s="109" t="n">
        <v>2</v>
      </c>
      <c r="K92" s="109" t="n">
        <v>1</v>
      </c>
      <c r="L92" s="126" t="n">
        <v>1</v>
      </c>
      <c r="M92" s="109"/>
      <c r="N92" s="137"/>
      <c r="O92" s="109"/>
      <c r="P92" s="109"/>
      <c r="Q92" s="109"/>
      <c r="R92" s="126"/>
      <c r="S92" s="109" t="n">
        <f aca="false">C92+D92+E92+F92+G92+H92+I92+J92+K92+L92</f>
        <v>9</v>
      </c>
    </row>
    <row r="93" customFormat="false" ht="12.75" hidden="false" customHeight="false" outlineLevel="0" collapsed="false">
      <c r="A93" s="138" t="s">
        <v>57</v>
      </c>
      <c r="B93" s="112" t="s">
        <v>53</v>
      </c>
      <c r="C93" s="109" t="n">
        <f aca="false">C91-C92</f>
        <v>1</v>
      </c>
      <c r="D93" s="126" t="n">
        <f aca="false">D91-D92</f>
        <v>0</v>
      </c>
      <c r="E93" s="109" t="n">
        <f aca="false">E91-E92</f>
        <v>0</v>
      </c>
      <c r="F93" s="109" t="n">
        <f aca="false">F91-F92</f>
        <v>-1</v>
      </c>
      <c r="G93" s="126" t="n">
        <f aca="false">G91-G92</f>
        <v>0</v>
      </c>
      <c r="H93" s="109" t="n">
        <f aca="false">H91-H92</f>
        <v>0</v>
      </c>
      <c r="I93" s="126" t="n">
        <f aca="false">I91-I92</f>
        <v>0</v>
      </c>
      <c r="J93" s="109" t="n">
        <f aca="false">J91-J92</f>
        <v>-2</v>
      </c>
      <c r="K93" s="136" t="n">
        <f aca="false">K91-K92</f>
        <v>-1</v>
      </c>
      <c r="L93" s="126" t="n">
        <f aca="false">L91-L92</f>
        <v>-1</v>
      </c>
      <c r="M93" s="109"/>
      <c r="N93" s="137"/>
      <c r="O93" s="109"/>
      <c r="P93" s="109"/>
      <c r="Q93" s="109"/>
      <c r="R93" s="126"/>
      <c r="S93" s="136" t="n">
        <f aca="false">S91-S92</f>
        <v>-4</v>
      </c>
    </row>
    <row r="94" customFormat="false" ht="13.5" hidden="false" customHeight="false" outlineLevel="0" collapsed="false">
      <c r="A94" s="153"/>
      <c r="B94" s="114" t="s">
        <v>9</v>
      </c>
      <c r="C94" s="117" t="n">
        <v>0</v>
      </c>
      <c r="D94" s="117" t="n">
        <f aca="false">D93/D92</f>
        <v>0</v>
      </c>
      <c r="E94" s="117" t="n">
        <v>0</v>
      </c>
      <c r="F94" s="117" t="n">
        <f aca="false">F93/F92</f>
        <v>-0.5</v>
      </c>
      <c r="G94" s="117" t="n">
        <v>0</v>
      </c>
      <c r="H94" s="117" t="n">
        <v>0</v>
      </c>
      <c r="I94" s="117" t="n">
        <v>0</v>
      </c>
      <c r="J94" s="117" t="n">
        <f aca="false">J93/J92</f>
        <v>-1</v>
      </c>
      <c r="K94" s="117" t="n">
        <f aca="false">K93/K92</f>
        <v>-1</v>
      </c>
      <c r="L94" s="117" t="n">
        <f aca="false">L93/L92</f>
        <v>-1</v>
      </c>
      <c r="M94" s="117"/>
      <c r="N94" s="141"/>
      <c r="O94" s="117"/>
      <c r="P94" s="117"/>
      <c r="Q94" s="117"/>
      <c r="R94" s="140"/>
      <c r="S94" s="117" t="n">
        <f aca="false">S93/S92</f>
        <v>-0.444444444444444</v>
      </c>
    </row>
    <row r="95" customFormat="false" ht="12.75" hidden="false" customHeight="false" outlineLevel="0" collapsed="false">
      <c r="A95" s="158"/>
      <c r="B95" s="107" t="n">
        <v>2016</v>
      </c>
      <c r="C95" s="109" t="n">
        <v>0</v>
      </c>
      <c r="D95" s="126" t="n">
        <v>0</v>
      </c>
      <c r="E95" s="109" t="n">
        <v>0</v>
      </c>
      <c r="F95" s="109" t="n">
        <v>0</v>
      </c>
      <c r="G95" s="126" t="n">
        <v>0</v>
      </c>
      <c r="H95" s="109" t="n">
        <v>0</v>
      </c>
      <c r="I95" s="126" t="n">
        <v>0</v>
      </c>
      <c r="J95" s="109" t="n">
        <v>0</v>
      </c>
      <c r="K95" s="109" t="n">
        <v>0</v>
      </c>
      <c r="L95" s="126" t="n">
        <v>0</v>
      </c>
      <c r="M95" s="159"/>
      <c r="N95" s="160"/>
      <c r="O95" s="159"/>
      <c r="P95" s="159"/>
      <c r="Q95" s="159"/>
      <c r="R95" s="161"/>
      <c r="S95" s="109" t="n">
        <f aca="false">C95+D95+E95+F95+G95+H95+I95+J95+K95+L95</f>
        <v>0</v>
      </c>
    </row>
    <row r="96" customFormat="false" ht="12.75" hidden="false" customHeight="false" outlineLevel="0" collapsed="false">
      <c r="A96" s="162" t="s">
        <v>58</v>
      </c>
      <c r="B96" s="107" t="n">
        <v>2015</v>
      </c>
      <c r="C96" s="109" t="n">
        <v>0</v>
      </c>
      <c r="D96" s="126" t="n">
        <v>0</v>
      </c>
      <c r="E96" s="109" t="n">
        <v>0</v>
      </c>
      <c r="F96" s="109" t="n">
        <v>0</v>
      </c>
      <c r="G96" s="126" t="n">
        <v>0</v>
      </c>
      <c r="H96" s="109" t="n">
        <v>0</v>
      </c>
      <c r="I96" s="126" t="n">
        <v>0</v>
      </c>
      <c r="J96" s="109" t="n">
        <v>0</v>
      </c>
      <c r="K96" s="109" t="n">
        <v>0</v>
      </c>
      <c r="L96" s="126" t="n">
        <v>0</v>
      </c>
      <c r="M96" s="163"/>
      <c r="N96" s="164"/>
      <c r="O96" s="163"/>
      <c r="P96" s="163"/>
      <c r="Q96" s="163"/>
      <c r="R96" s="165"/>
      <c r="S96" s="109" t="n">
        <f aca="false">C96+D96+E96+F96+G96+H96+I96+J96+K96+L96</f>
        <v>0</v>
      </c>
    </row>
    <row r="97" customFormat="false" ht="12.75" hidden="false" customHeight="false" outlineLevel="0" collapsed="false">
      <c r="A97" s="162" t="s">
        <v>59</v>
      </c>
      <c r="B97" s="112" t="s">
        <v>53</v>
      </c>
      <c r="C97" s="109" t="n">
        <f aca="false">C95-C96</f>
        <v>0</v>
      </c>
      <c r="D97" s="126" t="n">
        <f aca="false">D95-D96</f>
        <v>0</v>
      </c>
      <c r="E97" s="109" t="n">
        <f aca="false">E95-E96</f>
        <v>0</v>
      </c>
      <c r="F97" s="109" t="n">
        <f aca="false">F95-F96</f>
        <v>0</v>
      </c>
      <c r="G97" s="126" t="n">
        <f aca="false">G95-G96</f>
        <v>0</v>
      </c>
      <c r="H97" s="109" t="n">
        <f aca="false">H95-H96</f>
        <v>0</v>
      </c>
      <c r="I97" s="126" t="n">
        <f aca="false">I95-I96</f>
        <v>0</v>
      </c>
      <c r="J97" s="109" t="n">
        <f aca="false">J95-J96</f>
        <v>0</v>
      </c>
      <c r="K97" s="136" t="n">
        <f aca="false">K95-K96</f>
        <v>0</v>
      </c>
      <c r="L97" s="126" t="n">
        <f aca="false">L95-L96</f>
        <v>0</v>
      </c>
      <c r="M97" s="163"/>
      <c r="N97" s="164"/>
      <c r="O97" s="163"/>
      <c r="P97" s="163"/>
      <c r="Q97" s="163"/>
      <c r="R97" s="165"/>
      <c r="S97" s="136" t="n">
        <f aca="false">S95-S96</f>
        <v>0</v>
      </c>
    </row>
    <row r="98" customFormat="false" ht="13.5" hidden="false" customHeight="false" outlineLevel="0" collapsed="false">
      <c r="A98" s="166"/>
      <c r="B98" s="114" t="s">
        <v>9</v>
      </c>
      <c r="C98" s="117" t="n">
        <v>0</v>
      </c>
      <c r="D98" s="117" t="n">
        <v>0</v>
      </c>
      <c r="E98" s="117" t="n">
        <v>0</v>
      </c>
      <c r="F98" s="117" t="n">
        <v>0</v>
      </c>
      <c r="G98" s="117" t="n">
        <v>0</v>
      </c>
      <c r="H98" s="117" t="n">
        <v>0</v>
      </c>
      <c r="I98" s="117" t="n">
        <v>0</v>
      </c>
      <c r="J98" s="117" t="n">
        <v>0</v>
      </c>
      <c r="K98" s="117" t="n">
        <v>0</v>
      </c>
      <c r="L98" s="117" t="n">
        <v>0</v>
      </c>
      <c r="M98" s="143"/>
      <c r="N98" s="167"/>
      <c r="O98" s="143"/>
      <c r="P98" s="143"/>
      <c r="Q98" s="143"/>
      <c r="R98" s="168"/>
      <c r="S98" s="117" t="n">
        <v>0</v>
      </c>
    </row>
    <row r="99" customFormat="false" ht="12.75" hidden="false" customHeight="false" outlineLevel="0" collapsed="false">
      <c r="A99" s="157"/>
      <c r="B99" s="107" t="n">
        <v>2016</v>
      </c>
      <c r="C99" s="109" t="n">
        <v>26</v>
      </c>
      <c r="D99" s="126" t="n">
        <v>15</v>
      </c>
      <c r="E99" s="109" t="n">
        <v>31</v>
      </c>
      <c r="F99" s="109" t="n">
        <v>11</v>
      </c>
      <c r="G99" s="126" t="n">
        <v>5</v>
      </c>
      <c r="H99" s="109" t="n">
        <v>6</v>
      </c>
      <c r="I99" s="126" t="n">
        <v>19</v>
      </c>
      <c r="J99" s="109" t="n">
        <v>36</v>
      </c>
      <c r="K99" s="109" t="n">
        <v>25</v>
      </c>
      <c r="L99" s="126" t="n">
        <v>10</v>
      </c>
      <c r="M99" s="109"/>
      <c r="N99" s="137"/>
      <c r="O99" s="109"/>
      <c r="P99" s="109"/>
      <c r="Q99" s="109"/>
      <c r="R99" s="126"/>
      <c r="S99" s="109" t="n">
        <f aca="false">C99+D99+E99+F99+G99+H99+I99+J99+K99+L99</f>
        <v>184</v>
      </c>
    </row>
    <row r="100" customFormat="false" ht="12.75" hidden="false" customHeight="false" outlineLevel="0" collapsed="false">
      <c r="A100" s="138" t="s">
        <v>60</v>
      </c>
      <c r="B100" s="107" t="n">
        <v>2015</v>
      </c>
      <c r="C100" s="109" t="n">
        <v>21</v>
      </c>
      <c r="D100" s="126" t="n">
        <v>9</v>
      </c>
      <c r="E100" s="109" t="n">
        <v>19</v>
      </c>
      <c r="F100" s="109" t="n">
        <v>14</v>
      </c>
      <c r="G100" s="126" t="n">
        <v>7</v>
      </c>
      <c r="H100" s="109" t="n">
        <v>7</v>
      </c>
      <c r="I100" s="126" t="n">
        <v>23</v>
      </c>
      <c r="J100" s="109" t="n">
        <v>44</v>
      </c>
      <c r="K100" s="109" t="n">
        <v>18</v>
      </c>
      <c r="L100" s="137" t="n">
        <v>11</v>
      </c>
      <c r="M100" s="109"/>
      <c r="N100" s="137"/>
      <c r="O100" s="109"/>
      <c r="P100" s="109"/>
      <c r="Q100" s="109"/>
      <c r="R100" s="126"/>
      <c r="S100" s="109" t="n">
        <f aca="false">C100+D100+E100+F100+G100+H100+I100+J100+K100+L100</f>
        <v>173</v>
      </c>
    </row>
    <row r="101" customFormat="false" ht="12.75" hidden="false" customHeight="false" outlineLevel="0" collapsed="false">
      <c r="A101" s="157"/>
      <c r="B101" s="112" t="s">
        <v>53</v>
      </c>
      <c r="C101" s="109" t="n">
        <f aca="false">C99-C100</f>
        <v>5</v>
      </c>
      <c r="D101" s="126" t="n">
        <f aca="false">D99-D100</f>
        <v>6</v>
      </c>
      <c r="E101" s="109" t="n">
        <f aca="false">E99-E100</f>
        <v>12</v>
      </c>
      <c r="F101" s="109" t="n">
        <f aca="false">F99-F100</f>
        <v>-3</v>
      </c>
      <c r="G101" s="126" t="n">
        <f aca="false">G99-G100</f>
        <v>-2</v>
      </c>
      <c r="H101" s="109" t="n">
        <f aca="false">H99-H100</f>
        <v>-1</v>
      </c>
      <c r="I101" s="126" t="n">
        <f aca="false">I99-I100</f>
        <v>-4</v>
      </c>
      <c r="J101" s="109" t="n">
        <f aca="false">J99-J100</f>
        <v>-8</v>
      </c>
      <c r="K101" s="109" t="n">
        <f aca="false">K99-K100</f>
        <v>7</v>
      </c>
      <c r="L101" s="137" t="n">
        <f aca="false">L99-L100</f>
        <v>-1</v>
      </c>
      <c r="M101" s="109"/>
      <c r="N101" s="137" t="s">
        <v>2</v>
      </c>
      <c r="O101" s="109"/>
      <c r="P101" s="109"/>
      <c r="Q101" s="109"/>
      <c r="R101" s="126"/>
      <c r="S101" s="109" t="n">
        <f aca="false">S99-S100</f>
        <v>11</v>
      </c>
    </row>
    <row r="102" customFormat="false" ht="13.5" hidden="false" customHeight="false" outlineLevel="0" collapsed="false">
      <c r="A102" s="153"/>
      <c r="B102" s="114" t="s">
        <v>9</v>
      </c>
      <c r="C102" s="117" t="n">
        <f aca="false">C101/C100</f>
        <v>0.238095238095238</v>
      </c>
      <c r="D102" s="143" t="n">
        <f aca="false">D101/D100</f>
        <v>0.666666666666667</v>
      </c>
      <c r="E102" s="143" t="n">
        <f aca="false">E101/E100</f>
        <v>0.631578947368421</v>
      </c>
      <c r="F102" s="143" t="n">
        <f aca="false">F101/F100</f>
        <v>-0.214285714285714</v>
      </c>
      <c r="G102" s="140" t="n">
        <f aca="false">G101/G100</f>
        <v>-0.285714285714286</v>
      </c>
      <c r="H102" s="117" t="n">
        <f aca="false">H101/H100</f>
        <v>-0.142857142857143</v>
      </c>
      <c r="I102" s="140" t="n">
        <f aca="false">I101/I100</f>
        <v>-0.173913043478261</v>
      </c>
      <c r="J102" s="117" t="n">
        <f aca="false">J101/J100</f>
        <v>-0.181818181818182</v>
      </c>
      <c r="K102" s="140" t="n">
        <f aca="false">K101/K100</f>
        <v>0.388888888888889</v>
      </c>
      <c r="L102" s="117" t="n">
        <f aca="false">L101/L100</f>
        <v>-0.0909090909090909</v>
      </c>
      <c r="M102" s="117"/>
      <c r="N102" s="141"/>
      <c r="O102" s="117"/>
      <c r="P102" s="117"/>
      <c r="Q102" s="117"/>
      <c r="R102" s="140"/>
      <c r="S102" s="117" t="n">
        <f aca="false">S101/S100</f>
        <v>0.0635838150289017</v>
      </c>
    </row>
    <row r="103" customFormat="false" ht="12.75" hidden="false" customHeight="false" outlineLevel="0" collapsed="false">
      <c r="A103" s="157"/>
      <c r="B103" s="107" t="n">
        <v>2016</v>
      </c>
      <c r="C103" s="109" t="n">
        <v>63</v>
      </c>
      <c r="D103" s="126" t="n">
        <v>31</v>
      </c>
      <c r="E103" s="109" t="n">
        <v>25</v>
      </c>
      <c r="F103" s="109" t="n">
        <v>31</v>
      </c>
      <c r="G103" s="126" t="n">
        <v>13</v>
      </c>
      <c r="H103" s="109" t="n">
        <v>11</v>
      </c>
      <c r="I103" s="126" t="n">
        <v>31</v>
      </c>
      <c r="J103" s="109" t="n">
        <v>42</v>
      </c>
      <c r="K103" s="109" t="n">
        <v>25</v>
      </c>
      <c r="L103" s="126" t="n">
        <v>11</v>
      </c>
      <c r="M103" s="109"/>
      <c r="N103" s="137"/>
      <c r="O103" s="109"/>
      <c r="P103" s="109"/>
      <c r="Q103" s="109"/>
      <c r="R103" s="126"/>
      <c r="S103" s="109" t="n">
        <f aca="false">C103+D103+E103+F103+G103+H103+I103+J103+K103+L103</f>
        <v>283</v>
      </c>
    </row>
    <row r="104" customFormat="false" ht="12.75" hidden="false" customHeight="false" outlineLevel="0" collapsed="false">
      <c r="A104" s="138" t="s">
        <v>61</v>
      </c>
      <c r="B104" s="107" t="n">
        <v>2015</v>
      </c>
      <c r="C104" s="109" t="n">
        <v>19</v>
      </c>
      <c r="D104" s="126" t="n">
        <v>6</v>
      </c>
      <c r="E104" s="109" t="n">
        <v>8</v>
      </c>
      <c r="F104" s="109" t="n">
        <v>21</v>
      </c>
      <c r="G104" s="126" t="n">
        <v>6</v>
      </c>
      <c r="H104" s="109" t="n">
        <v>0</v>
      </c>
      <c r="I104" s="126" t="n">
        <v>9</v>
      </c>
      <c r="J104" s="109" t="n">
        <v>17</v>
      </c>
      <c r="K104" s="109" t="n">
        <v>17</v>
      </c>
      <c r="L104" s="126" t="n">
        <v>4</v>
      </c>
      <c r="M104" s="109"/>
      <c r="N104" s="137"/>
      <c r="O104" s="109"/>
      <c r="P104" s="109"/>
      <c r="Q104" s="109"/>
      <c r="R104" s="126"/>
      <c r="S104" s="109" t="n">
        <f aca="false">C104+D104+E104+F104+G104+H104+I104+J104+K104+L104</f>
        <v>107</v>
      </c>
    </row>
    <row r="105" customFormat="false" ht="12.75" hidden="false" customHeight="false" outlineLevel="0" collapsed="false">
      <c r="A105" s="138" t="s">
        <v>62</v>
      </c>
      <c r="B105" s="112" t="s">
        <v>53</v>
      </c>
      <c r="C105" s="109" t="n">
        <f aca="false">C103-C104</f>
        <v>44</v>
      </c>
      <c r="D105" s="126" t="n">
        <f aca="false">D103-D104</f>
        <v>25</v>
      </c>
      <c r="E105" s="109" t="n">
        <f aca="false">E103-E104</f>
        <v>17</v>
      </c>
      <c r="F105" s="109" t="n">
        <f aca="false">F103-F104</f>
        <v>10</v>
      </c>
      <c r="G105" s="126" t="n">
        <f aca="false">G103-G104</f>
        <v>7</v>
      </c>
      <c r="H105" s="109" t="n">
        <f aca="false">H103-H104</f>
        <v>11</v>
      </c>
      <c r="I105" s="126" t="n">
        <f aca="false">I103-I104</f>
        <v>22</v>
      </c>
      <c r="J105" s="109" t="n">
        <f aca="false">J103-J104</f>
        <v>25</v>
      </c>
      <c r="K105" s="109" t="n">
        <f aca="false">K103-K104</f>
        <v>8</v>
      </c>
      <c r="L105" s="126" t="n">
        <f aca="false">L103-L104</f>
        <v>7</v>
      </c>
      <c r="M105" s="109"/>
      <c r="N105" s="137"/>
      <c r="O105" s="109"/>
      <c r="P105" s="109"/>
      <c r="Q105" s="109"/>
      <c r="R105" s="126"/>
      <c r="S105" s="109" t="n">
        <f aca="false">S103-S104</f>
        <v>176</v>
      </c>
    </row>
    <row r="106" customFormat="false" ht="13.5" hidden="false" customHeight="false" outlineLevel="0" collapsed="false">
      <c r="A106" s="153"/>
      <c r="B106" s="114" t="s">
        <v>9</v>
      </c>
      <c r="C106" s="117" t="n">
        <f aca="false">C105/C104</f>
        <v>2.31578947368421</v>
      </c>
      <c r="D106" s="117" t="n">
        <f aca="false">D105/D104</f>
        <v>4.16666666666667</v>
      </c>
      <c r="E106" s="117" t="n">
        <f aca="false">E105/E104</f>
        <v>2.125</v>
      </c>
      <c r="F106" s="140" t="n">
        <f aca="false">F105/F104</f>
        <v>0.476190476190476</v>
      </c>
      <c r="G106" s="117" t="n">
        <f aca="false">G105/G104</f>
        <v>1.16666666666667</v>
      </c>
      <c r="H106" s="117" t="n">
        <v>0</v>
      </c>
      <c r="I106" s="117" t="n">
        <f aca="false">I105/I104</f>
        <v>2.44444444444444</v>
      </c>
      <c r="J106" s="143" t="n">
        <f aca="false">J105/J104</f>
        <v>1.47058823529412</v>
      </c>
      <c r="K106" s="140" t="n">
        <f aca="false">K105/K104</f>
        <v>0.470588235294118</v>
      </c>
      <c r="L106" s="117" t="n">
        <f aca="false">L105/L104</f>
        <v>1.75</v>
      </c>
      <c r="M106" s="117"/>
      <c r="N106" s="141"/>
      <c r="O106" s="117"/>
      <c r="P106" s="117"/>
      <c r="Q106" s="117"/>
      <c r="R106" s="140"/>
      <c r="S106" s="117" t="n">
        <f aca="false">S105/S104</f>
        <v>1.64485981308411</v>
      </c>
    </row>
    <row r="107" customFormat="false" ht="12.75" hidden="false" customHeight="false" outlineLevel="0" collapsed="false">
      <c r="A107" s="157"/>
      <c r="B107" s="107" t="n">
        <v>2016</v>
      </c>
      <c r="C107" s="109" t="n">
        <v>85</v>
      </c>
      <c r="D107" s="126" t="n">
        <v>53</v>
      </c>
      <c r="E107" s="109" t="n">
        <v>83</v>
      </c>
      <c r="F107" s="109" t="n">
        <v>49</v>
      </c>
      <c r="G107" s="126" t="n">
        <v>29</v>
      </c>
      <c r="H107" s="109" t="n">
        <v>32</v>
      </c>
      <c r="I107" s="126" t="n">
        <v>80</v>
      </c>
      <c r="J107" s="109" t="n">
        <v>85</v>
      </c>
      <c r="K107" s="109" t="n">
        <v>70</v>
      </c>
      <c r="L107" s="126" t="n">
        <v>41</v>
      </c>
      <c r="M107" s="109" t="s">
        <v>2</v>
      </c>
      <c r="N107" s="137"/>
      <c r="O107" s="109"/>
      <c r="P107" s="109"/>
      <c r="Q107" s="109"/>
      <c r="R107" s="126"/>
      <c r="S107" s="109" t="n">
        <f aca="false">C107+D107+E107+F107+G107+H107+I107+J107+K107+L107</f>
        <v>607</v>
      </c>
    </row>
    <row r="108" customFormat="false" ht="12.75" hidden="false" customHeight="false" outlineLevel="0" collapsed="false">
      <c r="A108" s="138" t="s">
        <v>63</v>
      </c>
      <c r="B108" s="107" t="n">
        <v>2015</v>
      </c>
      <c r="C108" s="109" t="n">
        <v>161</v>
      </c>
      <c r="D108" s="126" t="n">
        <v>101</v>
      </c>
      <c r="E108" s="109" t="n">
        <v>94</v>
      </c>
      <c r="F108" s="109" t="n">
        <v>82</v>
      </c>
      <c r="G108" s="126" t="n">
        <v>39</v>
      </c>
      <c r="H108" s="109" t="n">
        <v>39</v>
      </c>
      <c r="I108" s="126" t="n">
        <v>104</v>
      </c>
      <c r="J108" s="109" t="n">
        <v>108</v>
      </c>
      <c r="K108" s="109" t="n">
        <v>105</v>
      </c>
      <c r="L108" s="126" t="n">
        <v>46</v>
      </c>
      <c r="M108" s="109" t="s">
        <v>2</v>
      </c>
      <c r="N108" s="137"/>
      <c r="O108" s="109"/>
      <c r="P108" s="109"/>
      <c r="Q108" s="109"/>
      <c r="R108" s="126"/>
      <c r="S108" s="109" t="n">
        <f aca="false">C108+D108+E108+F108+G108+H108+I108+J108+K108+L108</f>
        <v>879</v>
      </c>
    </row>
    <row r="109" customFormat="false" ht="12.75" hidden="false" customHeight="false" outlineLevel="0" collapsed="false">
      <c r="A109" s="157"/>
      <c r="B109" s="112" t="s">
        <v>53</v>
      </c>
      <c r="C109" s="109" t="n">
        <f aca="false">C107-C108</f>
        <v>-76</v>
      </c>
      <c r="D109" s="126" t="n">
        <f aca="false">D107-D108</f>
        <v>-48</v>
      </c>
      <c r="E109" s="109" t="n">
        <f aca="false">E107-E108</f>
        <v>-11</v>
      </c>
      <c r="F109" s="109" t="n">
        <f aca="false">F107-F108</f>
        <v>-33</v>
      </c>
      <c r="G109" s="126" t="n">
        <f aca="false">G107-G108</f>
        <v>-10</v>
      </c>
      <c r="H109" s="109" t="n">
        <f aca="false">H107-H108</f>
        <v>-7</v>
      </c>
      <c r="I109" s="126" t="n">
        <f aca="false">I107-I108</f>
        <v>-24</v>
      </c>
      <c r="J109" s="109" t="n">
        <f aca="false">J107-J108</f>
        <v>-23</v>
      </c>
      <c r="K109" s="109" t="n">
        <f aca="false">K107-K108</f>
        <v>-35</v>
      </c>
      <c r="L109" s="126" t="n">
        <f aca="false">L107-L108</f>
        <v>-5</v>
      </c>
      <c r="M109" s="109"/>
      <c r="N109" s="137"/>
      <c r="O109" s="109"/>
      <c r="P109" s="109"/>
      <c r="Q109" s="109"/>
      <c r="R109" s="126"/>
      <c r="S109" s="109" t="n">
        <f aca="false">S107-S108</f>
        <v>-272</v>
      </c>
    </row>
    <row r="110" customFormat="false" ht="13.5" hidden="false" customHeight="false" outlineLevel="0" collapsed="false">
      <c r="A110" s="153"/>
      <c r="B110" s="114" t="s">
        <v>9</v>
      </c>
      <c r="C110" s="117" t="n">
        <f aca="false">C109/C108</f>
        <v>-0.472049689440994</v>
      </c>
      <c r="D110" s="140" t="n">
        <f aca="false">D109/D108</f>
        <v>-0.475247524752475</v>
      </c>
      <c r="E110" s="117" t="n">
        <f aca="false">E109/E108</f>
        <v>-0.117021276595745</v>
      </c>
      <c r="F110" s="117" t="n">
        <f aca="false">F109/F108</f>
        <v>-0.402439024390244</v>
      </c>
      <c r="G110" s="140" t="n">
        <f aca="false">G109/G108</f>
        <v>-0.256410256410256</v>
      </c>
      <c r="H110" s="117" t="n">
        <f aca="false">H109/H108</f>
        <v>-0.17948717948718</v>
      </c>
      <c r="I110" s="140" t="n">
        <f aca="false">I109/I108</f>
        <v>-0.230769230769231</v>
      </c>
      <c r="J110" s="117" t="n">
        <f aca="false">J109/J108</f>
        <v>-0.212962962962963</v>
      </c>
      <c r="K110" s="117" t="n">
        <f aca="false">K109/K108</f>
        <v>-0.333333333333333</v>
      </c>
      <c r="L110" s="140" t="n">
        <f aca="false">L109/L108</f>
        <v>-0.108695652173913</v>
      </c>
      <c r="M110" s="117"/>
      <c r="N110" s="141"/>
      <c r="O110" s="117"/>
      <c r="P110" s="117"/>
      <c r="Q110" s="117"/>
      <c r="R110" s="140"/>
      <c r="S110" s="117" t="n">
        <f aca="false">S109/S108</f>
        <v>-0.309442548350398</v>
      </c>
    </row>
    <row r="111" customFormat="false" ht="12.75" hidden="false" customHeight="false" outlineLevel="0" collapsed="false">
      <c r="A111" s="157"/>
      <c r="B111" s="107" t="n">
        <v>2016</v>
      </c>
      <c r="C111" s="109" t="n">
        <v>266</v>
      </c>
      <c r="D111" s="126" t="n">
        <v>91</v>
      </c>
      <c r="E111" s="109" t="n">
        <v>200</v>
      </c>
      <c r="F111" s="109" t="n">
        <v>129</v>
      </c>
      <c r="G111" s="126" t="n">
        <v>49</v>
      </c>
      <c r="H111" s="109" t="n">
        <v>36</v>
      </c>
      <c r="I111" s="126" t="n">
        <v>376</v>
      </c>
      <c r="J111" s="109" t="n">
        <v>191</v>
      </c>
      <c r="K111" s="109" t="n">
        <v>111</v>
      </c>
      <c r="L111" s="126" t="n">
        <v>77</v>
      </c>
      <c r="M111" s="109"/>
      <c r="N111" s="137"/>
      <c r="O111" s="109"/>
      <c r="P111" s="109"/>
      <c r="Q111" s="109"/>
      <c r="R111" s="126"/>
      <c r="S111" s="109" t="n">
        <f aca="false">C111+D111+E111+F111+G111+H111+I111+J111+K111+L111</f>
        <v>1526</v>
      </c>
    </row>
    <row r="112" customFormat="false" ht="12.75" hidden="false" customHeight="false" outlineLevel="0" collapsed="false">
      <c r="A112" s="138" t="s">
        <v>64</v>
      </c>
      <c r="B112" s="107" t="n">
        <v>2015</v>
      </c>
      <c r="C112" s="109" t="n">
        <v>316</v>
      </c>
      <c r="D112" s="126" t="n">
        <v>93</v>
      </c>
      <c r="E112" s="109" t="n">
        <v>285</v>
      </c>
      <c r="F112" s="109" t="n">
        <v>136</v>
      </c>
      <c r="G112" s="126" t="n">
        <v>79</v>
      </c>
      <c r="H112" s="109" t="n">
        <v>26</v>
      </c>
      <c r="I112" s="126" t="n">
        <v>395</v>
      </c>
      <c r="J112" s="109" t="n">
        <v>307</v>
      </c>
      <c r="K112" s="109" t="n">
        <v>144</v>
      </c>
      <c r="L112" s="126" t="n">
        <v>97</v>
      </c>
      <c r="M112" s="109"/>
      <c r="N112" s="137"/>
      <c r="O112" s="109"/>
      <c r="P112" s="109"/>
      <c r="Q112" s="109"/>
      <c r="R112" s="126"/>
      <c r="S112" s="109" t="n">
        <f aca="false">C112+D112+E112+F112+G112+H112+I112+J112+K112+L112</f>
        <v>1878</v>
      </c>
    </row>
    <row r="113" customFormat="false" ht="12.75" hidden="false" customHeight="false" outlineLevel="0" collapsed="false">
      <c r="A113" s="138" t="s">
        <v>65</v>
      </c>
      <c r="B113" s="112" t="s">
        <v>53</v>
      </c>
      <c r="C113" s="109" t="n">
        <f aca="false">C111-C112</f>
        <v>-50</v>
      </c>
      <c r="D113" s="109" t="n">
        <f aca="false">D111-D112</f>
        <v>-2</v>
      </c>
      <c r="E113" s="109" t="n">
        <f aca="false">E111-E112</f>
        <v>-85</v>
      </c>
      <c r="F113" s="109" t="n">
        <f aca="false">F111-F112</f>
        <v>-7</v>
      </c>
      <c r="G113" s="126" t="n">
        <f aca="false">G111-G112</f>
        <v>-30</v>
      </c>
      <c r="H113" s="109" t="n">
        <f aca="false">H111-H112</f>
        <v>10</v>
      </c>
      <c r="I113" s="126" t="n">
        <f aca="false">I111-I112</f>
        <v>-19</v>
      </c>
      <c r="J113" s="109" t="n">
        <f aca="false">J111-J112</f>
        <v>-116</v>
      </c>
      <c r="K113" s="109" t="n">
        <f aca="false">K111-K112</f>
        <v>-33</v>
      </c>
      <c r="L113" s="126" t="n">
        <f aca="false">L111-L112</f>
        <v>-20</v>
      </c>
      <c r="M113" s="109"/>
      <c r="N113" s="137"/>
      <c r="O113" s="109"/>
      <c r="P113" s="109"/>
      <c r="Q113" s="109"/>
      <c r="R113" s="126"/>
      <c r="S113" s="109" t="n">
        <f aca="false">S111-S112</f>
        <v>-352</v>
      </c>
    </row>
    <row r="114" customFormat="false" ht="13.5" hidden="false" customHeight="false" outlineLevel="0" collapsed="false">
      <c r="A114" s="153"/>
      <c r="B114" s="114" t="s">
        <v>9</v>
      </c>
      <c r="C114" s="117" t="n">
        <f aca="false">C113/C112</f>
        <v>-0.158227848101266</v>
      </c>
      <c r="D114" s="117" t="n">
        <f aca="false">D113/D112</f>
        <v>-0.021505376344086</v>
      </c>
      <c r="E114" s="117" t="n">
        <f aca="false">E113/E112</f>
        <v>-0.298245614035088</v>
      </c>
      <c r="F114" s="117" t="n">
        <f aca="false">F113/F112</f>
        <v>-0.0514705882352941</v>
      </c>
      <c r="G114" s="140" t="n">
        <f aca="false">G113/G112</f>
        <v>-0.379746835443038</v>
      </c>
      <c r="H114" s="117" t="n">
        <f aca="false">H113/H112</f>
        <v>0.384615384615385</v>
      </c>
      <c r="I114" s="140" t="n">
        <f aca="false">I113/I112</f>
        <v>-0.0481012658227848</v>
      </c>
      <c r="J114" s="117" t="n">
        <f aca="false">J113/J112</f>
        <v>-0.37785016286645</v>
      </c>
      <c r="K114" s="117" t="n">
        <f aca="false">K113/K112</f>
        <v>-0.229166666666667</v>
      </c>
      <c r="L114" s="140" t="n">
        <f aca="false">L113/L112</f>
        <v>-0.206185567010309</v>
      </c>
      <c r="M114" s="117"/>
      <c r="N114" s="141"/>
      <c r="O114" s="117"/>
      <c r="P114" s="117"/>
      <c r="Q114" s="117"/>
      <c r="R114" s="140"/>
      <c r="S114" s="117" t="n">
        <f aca="false">S113/S112</f>
        <v>-0.187433439829606</v>
      </c>
    </row>
    <row r="115" customFormat="false" ht="12.75" hidden="false" customHeight="false" outlineLevel="0" collapsed="false">
      <c r="A115" s="157" t="s">
        <v>2</v>
      </c>
      <c r="B115" s="107" t="n">
        <v>2016</v>
      </c>
      <c r="C115" s="109" t="n">
        <v>38</v>
      </c>
      <c r="D115" s="126" t="n">
        <v>16</v>
      </c>
      <c r="E115" s="109" t="n">
        <v>40</v>
      </c>
      <c r="F115" s="109" t="n">
        <v>4</v>
      </c>
      <c r="G115" s="126" t="n">
        <v>14</v>
      </c>
      <c r="H115" s="109" t="n">
        <v>7</v>
      </c>
      <c r="I115" s="126" t="n">
        <v>28</v>
      </c>
      <c r="J115" s="109" t="n">
        <v>65</v>
      </c>
      <c r="K115" s="109" t="n">
        <v>28</v>
      </c>
      <c r="L115" s="126" t="n">
        <v>6</v>
      </c>
      <c r="M115" s="109"/>
      <c r="N115" s="137"/>
      <c r="O115" s="109"/>
      <c r="P115" s="109"/>
      <c r="Q115" s="109"/>
      <c r="R115" s="126"/>
      <c r="S115" s="109" t="n">
        <f aca="false">C115+D115+E115+F115+G115+H115+I115+J115+K115+L115</f>
        <v>246</v>
      </c>
    </row>
    <row r="116" customFormat="false" ht="12.75" hidden="false" customHeight="false" outlineLevel="0" collapsed="false">
      <c r="A116" s="138" t="s">
        <v>66</v>
      </c>
      <c r="B116" s="107" t="n">
        <v>2015</v>
      </c>
      <c r="C116" s="109" t="n">
        <v>53</v>
      </c>
      <c r="D116" s="126" t="n">
        <v>24</v>
      </c>
      <c r="E116" s="109" t="n">
        <v>41</v>
      </c>
      <c r="F116" s="109" t="n">
        <v>6</v>
      </c>
      <c r="G116" s="126" t="n">
        <v>11</v>
      </c>
      <c r="H116" s="109" t="n">
        <v>7</v>
      </c>
      <c r="I116" s="126" t="n">
        <v>35</v>
      </c>
      <c r="J116" s="109" t="n">
        <v>92</v>
      </c>
      <c r="K116" s="109" t="n">
        <v>32</v>
      </c>
      <c r="L116" s="126" t="n">
        <v>3</v>
      </c>
      <c r="M116" s="109"/>
      <c r="N116" s="137"/>
      <c r="O116" s="109"/>
      <c r="P116" s="109"/>
      <c r="Q116" s="109"/>
      <c r="R116" s="126"/>
      <c r="S116" s="109" t="n">
        <f aca="false">C116+D116+E116+F116+G116+H116+I116+J116+K116+L116</f>
        <v>304</v>
      </c>
    </row>
    <row r="117" customFormat="false" ht="12.75" hidden="false" customHeight="false" outlineLevel="0" collapsed="false">
      <c r="A117" s="138" t="s">
        <v>67</v>
      </c>
      <c r="B117" s="112" t="s">
        <v>53</v>
      </c>
      <c r="C117" s="109" t="n">
        <f aca="false">C115-C116</f>
        <v>-15</v>
      </c>
      <c r="D117" s="126" t="n">
        <f aca="false">D115-D116</f>
        <v>-8</v>
      </c>
      <c r="E117" s="109" t="n">
        <f aca="false">E115-E116</f>
        <v>-1</v>
      </c>
      <c r="F117" s="109" t="n">
        <f aca="false">F115-F116</f>
        <v>-2</v>
      </c>
      <c r="G117" s="126" t="n">
        <f aca="false">G115-G116</f>
        <v>3</v>
      </c>
      <c r="H117" s="109" t="n">
        <f aca="false">H115-H116</f>
        <v>0</v>
      </c>
      <c r="I117" s="126" t="n">
        <f aca="false">I115-I116</f>
        <v>-7</v>
      </c>
      <c r="J117" s="151" t="n">
        <f aca="false">J115-J116</f>
        <v>-27</v>
      </c>
      <c r="K117" s="109" t="n">
        <f aca="false">K115-K116</f>
        <v>-4</v>
      </c>
      <c r="L117" s="126" t="n">
        <f aca="false">L115-L116</f>
        <v>3</v>
      </c>
      <c r="M117" s="109"/>
      <c r="N117" s="137"/>
      <c r="O117" s="109"/>
      <c r="P117" s="109"/>
      <c r="Q117" s="109"/>
      <c r="R117" s="126"/>
      <c r="S117" s="109" t="n">
        <f aca="false">S115-S116</f>
        <v>-58</v>
      </c>
    </row>
    <row r="118" customFormat="false" ht="13.5" hidden="false" customHeight="false" outlineLevel="0" collapsed="false">
      <c r="A118" s="153"/>
      <c r="B118" s="114" t="s">
        <v>9</v>
      </c>
      <c r="C118" s="117" t="n">
        <f aca="false">C117/C116</f>
        <v>-0.283018867924528</v>
      </c>
      <c r="D118" s="140" t="n">
        <f aca="false">D117/D116</f>
        <v>-0.333333333333333</v>
      </c>
      <c r="E118" s="117" t="n">
        <f aca="false">E117/E116</f>
        <v>-0.024390243902439</v>
      </c>
      <c r="F118" s="117" t="n">
        <f aca="false">F117/F116</f>
        <v>-0.333333333333333</v>
      </c>
      <c r="G118" s="117" t="n">
        <f aca="false">G117/G116</f>
        <v>0.272727272727273</v>
      </c>
      <c r="H118" s="140" t="n">
        <f aca="false">H117/H116</f>
        <v>0</v>
      </c>
      <c r="I118" s="140" t="n">
        <f aca="false">I117/I116</f>
        <v>-0.2</v>
      </c>
      <c r="J118" s="117" t="n">
        <f aca="false">J117/J116</f>
        <v>-0.293478260869565</v>
      </c>
      <c r="K118" s="117" t="n">
        <f aca="false">K117/K116</f>
        <v>-0.125</v>
      </c>
      <c r="L118" s="117" t="n">
        <f aca="false">L117/L116</f>
        <v>1</v>
      </c>
      <c r="M118" s="117"/>
      <c r="N118" s="141"/>
      <c r="O118" s="117"/>
      <c r="P118" s="117"/>
      <c r="Q118" s="117"/>
      <c r="R118" s="140"/>
      <c r="S118" s="117" t="n">
        <f aca="false">S117/S116</f>
        <v>-0.190789473684211</v>
      </c>
    </row>
    <row r="119" customFormat="false" ht="13.5" hidden="false" customHeight="false" outlineLevel="0" collapsed="false">
      <c r="A119" s="154" t="s">
        <v>92</v>
      </c>
      <c r="B119" s="124"/>
      <c r="C119" s="125"/>
      <c r="D119" s="125"/>
      <c r="E119" s="125"/>
      <c r="F119" s="125"/>
      <c r="G119" s="125"/>
      <c r="H119" s="125"/>
      <c r="I119" s="125"/>
      <c r="J119" s="125"/>
      <c r="K119" s="125"/>
      <c r="L119" s="125"/>
      <c r="M119" s="125"/>
      <c r="N119" s="125"/>
      <c r="O119" s="125"/>
      <c r="P119" s="125"/>
      <c r="Q119" s="125"/>
      <c r="R119" s="125"/>
      <c r="S119" s="125"/>
    </row>
    <row r="120" customFormat="false" ht="23.25" hidden="false" customHeight="false" outlineLevel="0" collapsed="false">
      <c r="A120" s="127"/>
      <c r="B120" s="128"/>
      <c r="C120" s="129" t="s">
        <v>93</v>
      </c>
      <c r="D120" s="130" t="s">
        <v>94</v>
      </c>
      <c r="E120" s="129" t="s">
        <v>95</v>
      </c>
      <c r="F120" s="130" t="s">
        <v>96</v>
      </c>
      <c r="G120" s="132" t="s">
        <v>97</v>
      </c>
      <c r="H120" s="129" t="s">
        <v>98</v>
      </c>
      <c r="I120" s="130" t="s">
        <v>99</v>
      </c>
      <c r="J120" s="169" t="s">
        <v>100</v>
      </c>
      <c r="K120" s="129" t="s">
        <v>101</v>
      </c>
      <c r="L120" s="129" t="s">
        <v>102</v>
      </c>
      <c r="M120" s="129" t="s">
        <v>103</v>
      </c>
      <c r="N120" s="132" t="s">
        <v>104</v>
      </c>
      <c r="O120" s="133"/>
      <c r="P120" s="156"/>
      <c r="Q120" s="156"/>
      <c r="R120" s="156"/>
      <c r="S120" s="134" t="s">
        <v>51</v>
      </c>
    </row>
    <row r="121" customFormat="false" ht="12.75" hidden="false" customHeight="false" outlineLevel="0" collapsed="false">
      <c r="A121" s="136"/>
      <c r="B121" s="107" t="n">
        <v>2016</v>
      </c>
      <c r="C121" s="109" t="n">
        <f aca="false">C125+C129+C137+C141+C145+C149+C153+C133</f>
        <v>127</v>
      </c>
      <c r="D121" s="109" t="n">
        <f aca="false">D125+D129+D137+D141+D145+D149+D153</f>
        <v>92</v>
      </c>
      <c r="E121" s="109" t="n">
        <f aca="false">E125+E129+E137+E141+E145+E149+E153</f>
        <v>321</v>
      </c>
      <c r="F121" s="108" t="n">
        <f aca="false">F125+F129+F137+F141+F145+F149+F153</f>
        <v>154</v>
      </c>
      <c r="G121" s="109" t="n">
        <f aca="false">G125+G129+G137+G141+G145+G149+G153</f>
        <v>229</v>
      </c>
      <c r="H121" s="109" t="n">
        <f aca="false">H125+H129+H137+H141+H145+H149+H153</f>
        <v>107</v>
      </c>
      <c r="I121" s="109" t="n">
        <f aca="false">I125+I129+I137+I141+I145+I149+I153</f>
        <v>211</v>
      </c>
      <c r="J121" s="108" t="n">
        <f aca="false">J125+J129+J137+J141+J145+J149+J153</f>
        <v>507</v>
      </c>
      <c r="K121" s="109" t="n">
        <f aca="false">K125+K129+K137+K141+K145+K149+K153</f>
        <v>450</v>
      </c>
      <c r="L121" s="109" t="n">
        <f aca="false">L125+L129+L137+L141+L145+L149+L153</f>
        <v>140</v>
      </c>
      <c r="M121" s="109" t="n">
        <f aca="false">M125+M129+M137+M141+M145+M149+M153</f>
        <v>498</v>
      </c>
      <c r="N121" s="109" t="n">
        <f aca="false">N125+N129+N137+N141+N145+N149+N153</f>
        <v>170</v>
      </c>
      <c r="O121" s="137"/>
      <c r="P121" s="109"/>
      <c r="Q121" s="109"/>
      <c r="R121" s="109"/>
      <c r="S121" s="109" t="n">
        <f aca="false">S125+S129+S137+S141+S145+S149+S153+S133</f>
        <v>3006</v>
      </c>
      <c r="T121" s="0" t="n">
        <f aca="false">S121-3006</f>
        <v>0</v>
      </c>
    </row>
    <row r="122" customFormat="false" ht="12.75" hidden="false" customHeight="false" outlineLevel="0" collapsed="false">
      <c r="A122" s="138" t="s">
        <v>52</v>
      </c>
      <c r="B122" s="107" t="n">
        <v>2015</v>
      </c>
      <c r="C122" s="109" t="n">
        <f aca="false">C126+C130+C138+C142+C146+C150+C154</f>
        <v>132</v>
      </c>
      <c r="D122" s="109" t="n">
        <f aca="false">D126+D130+D138+D142+D146+D150+D154</f>
        <v>87</v>
      </c>
      <c r="E122" s="109" t="n">
        <f aca="false">E126+E130+E138+E142+E146+E150+E154</f>
        <v>365</v>
      </c>
      <c r="F122" s="108" t="n">
        <f aca="false">F126+F130+F138+F142+F146+F150+F154</f>
        <v>131</v>
      </c>
      <c r="G122" s="151" t="n">
        <f aca="false">G126+G130+G138+G142+G146+G150+G154</f>
        <v>218</v>
      </c>
      <c r="H122" s="109" t="n">
        <f aca="false">H126+H130+H138+H142+H146+H150+H154</f>
        <v>136</v>
      </c>
      <c r="I122" s="109" t="n">
        <f aca="false">I126+I130+I138+I142+I146+I150+I154</f>
        <v>218</v>
      </c>
      <c r="J122" s="108" t="n">
        <f aca="false">J126+J130+J138+J142+J146+J150+J154</f>
        <v>515</v>
      </c>
      <c r="K122" s="109" t="n">
        <f aca="false">K126+K130+K138+K142+K146+K150+K154</f>
        <v>439</v>
      </c>
      <c r="L122" s="109" t="n">
        <f aca="false">L126+L130+L138+L142+L146+L150+L154</f>
        <v>160</v>
      </c>
      <c r="M122" s="109" t="n">
        <f aca="false">M126+M130+M138+M142+M146+M150+M154</f>
        <v>521</v>
      </c>
      <c r="N122" s="109" t="n">
        <f aca="false">N126+N130+N138+N142+N146+N150+N154</f>
        <v>216</v>
      </c>
      <c r="O122" s="137"/>
      <c r="P122" s="109"/>
      <c r="Q122" s="109"/>
      <c r="R122" s="109"/>
      <c r="S122" s="109" t="n">
        <f aca="false">S126+S130+S138+S142+S146+S150+S154</f>
        <v>3138</v>
      </c>
    </row>
    <row r="123" customFormat="false" ht="12.75" hidden="false" customHeight="false" outlineLevel="0" collapsed="false">
      <c r="A123" s="136"/>
      <c r="B123" s="112" t="s">
        <v>53</v>
      </c>
      <c r="C123" s="109" t="n">
        <f aca="false">C121-C122</f>
        <v>-5</v>
      </c>
      <c r="D123" s="126" t="n">
        <f aca="false">D121-D122</f>
        <v>5</v>
      </c>
      <c r="E123" s="109" t="n">
        <f aca="false">E121-E122</f>
        <v>-44</v>
      </c>
      <c r="F123" s="126" t="n">
        <f aca="false">F121-F122</f>
        <v>23</v>
      </c>
      <c r="G123" s="151" t="n">
        <f aca="false">G121-G122</f>
        <v>11</v>
      </c>
      <c r="H123" s="109" t="n">
        <f aca="false">H121-H122</f>
        <v>-29</v>
      </c>
      <c r="I123" s="126" t="n">
        <f aca="false">I121-I122</f>
        <v>-7</v>
      </c>
      <c r="J123" s="108" t="n">
        <f aca="false">J121-J122</f>
        <v>-8</v>
      </c>
      <c r="K123" s="109" t="n">
        <f aca="false">K121-K122</f>
        <v>11</v>
      </c>
      <c r="L123" s="109" t="n">
        <f aca="false">L121-L122</f>
        <v>-20</v>
      </c>
      <c r="M123" s="109" t="n">
        <f aca="false">M121-M122</f>
        <v>-23</v>
      </c>
      <c r="N123" s="109" t="n">
        <f aca="false">N121-N122</f>
        <v>-46</v>
      </c>
      <c r="O123" s="137"/>
      <c r="P123" s="137"/>
      <c r="Q123" s="137"/>
      <c r="R123" s="137"/>
      <c r="S123" s="109" t="n">
        <f aca="false">S121-S122</f>
        <v>-132</v>
      </c>
    </row>
    <row r="124" customFormat="false" ht="13.5" hidden="false" customHeight="false" outlineLevel="0" collapsed="false">
      <c r="A124" s="139"/>
      <c r="B124" s="114" t="s">
        <v>9</v>
      </c>
      <c r="C124" s="117" t="n">
        <f aca="false">C123/C122</f>
        <v>-0.0378787878787879</v>
      </c>
      <c r="D124" s="140" t="n">
        <f aca="false">D123/D122</f>
        <v>0.0574712643678161</v>
      </c>
      <c r="E124" s="117" t="n">
        <f aca="false">E123/E122</f>
        <v>-0.120547945205479</v>
      </c>
      <c r="F124" s="140" t="n">
        <f aca="false">F123/F122</f>
        <v>0.175572519083969</v>
      </c>
      <c r="G124" s="143" t="n">
        <f aca="false">G123/G122</f>
        <v>0.0504587155963303</v>
      </c>
      <c r="H124" s="117" t="n">
        <f aca="false">H123/H122</f>
        <v>-0.213235294117647</v>
      </c>
      <c r="I124" s="140" t="n">
        <f aca="false">I123/I122</f>
        <v>-0.0321100917431193</v>
      </c>
      <c r="J124" s="116" t="n">
        <f aca="false">J123/J122</f>
        <v>-0.0155339805825243</v>
      </c>
      <c r="K124" s="117" t="n">
        <f aca="false">K123/K122</f>
        <v>0.0250569476082005</v>
      </c>
      <c r="L124" s="117" t="n">
        <f aca="false">L123/L122</f>
        <v>-0.125</v>
      </c>
      <c r="M124" s="117" t="n">
        <f aca="false">M123/M122</f>
        <v>-0.0441458733205374</v>
      </c>
      <c r="N124" s="117" t="n">
        <f aca="false">N123/N122</f>
        <v>-0.212962962962963</v>
      </c>
      <c r="O124" s="141"/>
      <c r="P124" s="141"/>
      <c r="Q124" s="141"/>
      <c r="R124" s="141"/>
      <c r="S124" s="117" t="n">
        <f aca="false">S123/S122</f>
        <v>-0.0420650095602295</v>
      </c>
    </row>
    <row r="125" customFormat="false" ht="12.75" hidden="false" customHeight="false" outlineLevel="0" collapsed="false">
      <c r="A125" s="170"/>
      <c r="B125" s="107" t="n">
        <v>2016</v>
      </c>
      <c r="C125" s="109" t="n">
        <v>3</v>
      </c>
      <c r="D125" s="126" t="n">
        <v>5</v>
      </c>
      <c r="E125" s="109" t="n">
        <v>7</v>
      </c>
      <c r="F125" s="126" t="n">
        <v>3</v>
      </c>
      <c r="G125" s="109" t="n">
        <v>13</v>
      </c>
      <c r="H125" s="109" t="n">
        <v>1</v>
      </c>
      <c r="I125" s="126" t="n">
        <v>5</v>
      </c>
      <c r="J125" s="108" t="n">
        <f aca="false">13+4</f>
        <v>17</v>
      </c>
      <c r="K125" s="109" t="n">
        <v>3</v>
      </c>
      <c r="L125" s="109" t="n">
        <v>1</v>
      </c>
      <c r="M125" s="109" t="n">
        <f aca="false">9+2</f>
        <v>11</v>
      </c>
      <c r="N125" s="109" t="n">
        <v>1</v>
      </c>
      <c r="O125" s="137"/>
      <c r="P125" s="137"/>
      <c r="Q125" s="137"/>
      <c r="R125" s="137"/>
      <c r="S125" s="109" t="n">
        <f aca="false">C125+D125+E125+F125+G125+H125+I125+J125+K125+L125+M125+N125+O125</f>
        <v>70</v>
      </c>
    </row>
    <row r="126" customFormat="false" ht="12.75" hidden="false" customHeight="false" outlineLevel="0" collapsed="false">
      <c r="A126" s="138" t="s">
        <v>54</v>
      </c>
      <c r="B126" s="107" t="n">
        <v>2015</v>
      </c>
      <c r="C126" s="109" t="n">
        <v>3</v>
      </c>
      <c r="D126" s="126" t="n">
        <v>9</v>
      </c>
      <c r="E126" s="109" t="n">
        <v>3</v>
      </c>
      <c r="F126" s="126" t="n">
        <v>2</v>
      </c>
      <c r="G126" s="151" t="n">
        <v>5</v>
      </c>
      <c r="H126" s="109" t="n">
        <v>1</v>
      </c>
      <c r="I126" s="126" t="n">
        <v>1</v>
      </c>
      <c r="J126" s="108" t="n">
        <v>9</v>
      </c>
      <c r="K126" s="109" t="n">
        <v>7</v>
      </c>
      <c r="L126" s="109" t="n">
        <v>4</v>
      </c>
      <c r="M126" s="109" t="n">
        <v>5</v>
      </c>
      <c r="N126" s="109" t="n">
        <v>2</v>
      </c>
      <c r="O126" s="137"/>
      <c r="P126" s="137"/>
      <c r="Q126" s="137"/>
      <c r="R126" s="137"/>
      <c r="S126" s="109" t="n">
        <f aca="false">C126+D126+E126+F126+G126+H126+I126+J126+K126+L126+M126+N126+O126</f>
        <v>51</v>
      </c>
    </row>
    <row r="127" customFormat="false" ht="12.75" hidden="false" customHeight="false" outlineLevel="0" collapsed="false">
      <c r="A127" s="138" t="s">
        <v>55</v>
      </c>
      <c r="B127" s="112" t="s">
        <v>53</v>
      </c>
      <c r="C127" s="109" t="n">
        <f aca="false">C125-C126</f>
        <v>0</v>
      </c>
      <c r="D127" s="126" t="n">
        <f aca="false">D125-D126</f>
        <v>-4</v>
      </c>
      <c r="E127" s="109" t="n">
        <f aca="false">E125-E126</f>
        <v>4</v>
      </c>
      <c r="F127" s="126" t="n">
        <f aca="false">F125-F126</f>
        <v>1</v>
      </c>
      <c r="G127" s="151" t="n">
        <f aca="false">G125-G126</f>
        <v>8</v>
      </c>
      <c r="H127" s="109" t="n">
        <f aca="false">H125-H126</f>
        <v>0</v>
      </c>
      <c r="I127" s="151" t="n">
        <f aca="false">I125-I126</f>
        <v>4</v>
      </c>
      <c r="J127" s="126" t="n">
        <f aca="false">J125-J126</f>
        <v>8</v>
      </c>
      <c r="K127" s="109" t="n">
        <f aca="false">K125-K126</f>
        <v>-4</v>
      </c>
      <c r="L127" s="109" t="n">
        <f aca="false">L125-L126</f>
        <v>-3</v>
      </c>
      <c r="M127" s="109" t="n">
        <f aca="false">M125-M126</f>
        <v>6</v>
      </c>
      <c r="N127" s="109" t="n">
        <f aca="false">N125-N126</f>
        <v>-1</v>
      </c>
      <c r="O127" s="137"/>
      <c r="P127" s="137"/>
      <c r="Q127" s="137"/>
      <c r="R127" s="137"/>
      <c r="S127" s="109" t="n">
        <f aca="false">S125-S126</f>
        <v>19</v>
      </c>
    </row>
    <row r="128" customFormat="false" ht="13.5" hidden="false" customHeight="false" outlineLevel="0" collapsed="false">
      <c r="A128" s="153" t="s">
        <v>2</v>
      </c>
      <c r="B128" s="114" t="s">
        <v>9</v>
      </c>
      <c r="C128" s="117" t="n">
        <f aca="false">C127/C126</f>
        <v>0</v>
      </c>
      <c r="D128" s="117" t="n">
        <f aca="false">D127/D126</f>
        <v>-0.444444444444444</v>
      </c>
      <c r="E128" s="117" t="n">
        <f aca="false">E127/E126</f>
        <v>1.33333333333333</v>
      </c>
      <c r="F128" s="117" t="n">
        <f aca="false">F127/F126</f>
        <v>0.5</v>
      </c>
      <c r="G128" s="117" t="n">
        <f aca="false">G127/G126</f>
        <v>1.6</v>
      </c>
      <c r="H128" s="117" t="n">
        <f aca="false">H127/H126</f>
        <v>0</v>
      </c>
      <c r="I128" s="117" t="n">
        <f aca="false">I127/I126</f>
        <v>4</v>
      </c>
      <c r="J128" s="117" t="n">
        <f aca="false">J127/J126</f>
        <v>0.888888888888889</v>
      </c>
      <c r="K128" s="117" t="n">
        <f aca="false">K127/K126</f>
        <v>-0.571428571428571</v>
      </c>
      <c r="L128" s="117" t="n">
        <f aca="false">L127/L126</f>
        <v>-0.75</v>
      </c>
      <c r="M128" s="117" t="n">
        <f aca="false">M127/M126</f>
        <v>1.2</v>
      </c>
      <c r="N128" s="117" t="n">
        <f aca="false">N127/N126</f>
        <v>-0.5</v>
      </c>
      <c r="O128" s="141"/>
      <c r="P128" s="141"/>
      <c r="Q128" s="141"/>
      <c r="R128" s="141"/>
      <c r="S128" s="117" t="n">
        <f aca="false">S127/S126</f>
        <v>0.372549019607843</v>
      </c>
    </row>
    <row r="129" customFormat="false" ht="12.75" hidden="false" customHeight="false" outlineLevel="0" collapsed="false">
      <c r="A129" s="157"/>
      <c r="B129" s="107" t="n">
        <v>2016</v>
      </c>
      <c r="C129" s="109" t="n">
        <v>0</v>
      </c>
      <c r="D129" s="126" t="n">
        <v>0</v>
      </c>
      <c r="E129" s="109" t="n">
        <v>2</v>
      </c>
      <c r="F129" s="126" t="n">
        <v>1</v>
      </c>
      <c r="G129" s="109" t="n">
        <v>3</v>
      </c>
      <c r="H129" s="109" t="n">
        <v>0</v>
      </c>
      <c r="I129" s="126" t="n">
        <v>4</v>
      </c>
      <c r="J129" s="108" t="n">
        <v>1</v>
      </c>
      <c r="K129" s="109" t="n">
        <v>1</v>
      </c>
      <c r="L129" s="109" t="n">
        <v>1</v>
      </c>
      <c r="M129" s="109" t="n">
        <v>2</v>
      </c>
      <c r="N129" s="109" t="n">
        <v>1</v>
      </c>
      <c r="O129" s="137"/>
      <c r="P129" s="137"/>
      <c r="Q129" s="137"/>
      <c r="R129" s="137"/>
      <c r="S129" s="109" t="n">
        <f aca="false">C129+D129+E129+F129+G129+H129+I129+J129+K129+L129+M129+N129+O129</f>
        <v>16</v>
      </c>
    </row>
    <row r="130" customFormat="false" ht="12.75" hidden="false" customHeight="false" outlineLevel="0" collapsed="false">
      <c r="A130" s="138" t="s">
        <v>56</v>
      </c>
      <c r="B130" s="107" t="n">
        <v>2015</v>
      </c>
      <c r="C130" s="109" t="n">
        <v>1</v>
      </c>
      <c r="D130" s="126" t="n">
        <v>0</v>
      </c>
      <c r="E130" s="109" t="n">
        <v>2</v>
      </c>
      <c r="F130" s="126" t="n">
        <v>0</v>
      </c>
      <c r="G130" s="151" t="n">
        <v>0</v>
      </c>
      <c r="H130" s="109" t="n">
        <v>0</v>
      </c>
      <c r="I130" s="126" t="n">
        <v>0</v>
      </c>
      <c r="J130" s="108" t="n">
        <v>4</v>
      </c>
      <c r="K130" s="109" t="n">
        <v>3</v>
      </c>
      <c r="L130" s="109" t="n">
        <v>0</v>
      </c>
      <c r="M130" s="109" t="n">
        <v>1</v>
      </c>
      <c r="N130" s="109" t="n">
        <v>1</v>
      </c>
      <c r="O130" s="137"/>
      <c r="P130" s="137"/>
      <c r="Q130" s="137"/>
      <c r="R130" s="137"/>
      <c r="S130" s="109" t="n">
        <f aca="false">C130+D130+E130+F130+G130+H130+I130+J130+K130+L130+M130+N130+O130</f>
        <v>12</v>
      </c>
    </row>
    <row r="131" customFormat="false" ht="12.75" hidden="false" customHeight="false" outlineLevel="0" collapsed="false">
      <c r="A131" s="138" t="s">
        <v>57</v>
      </c>
      <c r="B131" s="112" t="s">
        <v>53</v>
      </c>
      <c r="C131" s="109" t="n">
        <f aca="false">C129-C130</f>
        <v>-1</v>
      </c>
      <c r="D131" s="126" t="n">
        <f aca="false">D129-D130</f>
        <v>0</v>
      </c>
      <c r="E131" s="109" t="n">
        <f aca="false">E129-E130</f>
        <v>0</v>
      </c>
      <c r="F131" s="126" t="n">
        <f aca="false">F129-F130</f>
        <v>1</v>
      </c>
      <c r="G131" s="151" t="n">
        <f aca="false">G129-G130</f>
        <v>3</v>
      </c>
      <c r="H131" s="109" t="n">
        <f aca="false">H129-H130</f>
        <v>0</v>
      </c>
      <c r="I131" s="126" t="n">
        <f aca="false">I129-I130</f>
        <v>4</v>
      </c>
      <c r="J131" s="108" t="n">
        <f aca="false">J129-J130</f>
        <v>-3</v>
      </c>
      <c r="K131" s="109" t="n">
        <f aca="false">K129-K130</f>
        <v>-2</v>
      </c>
      <c r="L131" s="109" t="n">
        <f aca="false">L129-L130</f>
        <v>1</v>
      </c>
      <c r="M131" s="109" t="n">
        <f aca="false">M129-M130</f>
        <v>1</v>
      </c>
      <c r="N131" s="109" t="n">
        <f aca="false">N129-N130</f>
        <v>0</v>
      </c>
      <c r="O131" s="137"/>
      <c r="P131" s="137"/>
      <c r="Q131" s="137"/>
      <c r="R131" s="137"/>
      <c r="S131" s="109" t="n">
        <f aca="false">S129-S130</f>
        <v>4</v>
      </c>
    </row>
    <row r="132" customFormat="false" ht="13.5" hidden="false" customHeight="false" outlineLevel="0" collapsed="false">
      <c r="A132" s="153"/>
      <c r="B132" s="114" t="s">
        <v>9</v>
      </c>
      <c r="C132" s="117" t="n">
        <f aca="false">C131/C130</f>
        <v>-1</v>
      </c>
      <c r="D132" s="117" t="n">
        <v>0</v>
      </c>
      <c r="E132" s="117" t="n">
        <f aca="false">E131/E130</f>
        <v>0</v>
      </c>
      <c r="F132" s="117" t="n">
        <v>0</v>
      </c>
      <c r="G132" s="117" t="n">
        <v>0</v>
      </c>
      <c r="H132" s="117" t="n">
        <v>0</v>
      </c>
      <c r="I132" s="117" t="n">
        <v>0</v>
      </c>
      <c r="J132" s="117" t="n">
        <f aca="false">J131/J130</f>
        <v>-0.75</v>
      </c>
      <c r="K132" s="117" t="n">
        <f aca="false">K131/K130</f>
        <v>-0.666666666666667</v>
      </c>
      <c r="L132" s="117" t="n">
        <v>0</v>
      </c>
      <c r="M132" s="117" t="n">
        <f aca="false">M131/M130</f>
        <v>1</v>
      </c>
      <c r="N132" s="117" t="n">
        <f aca="false">N131/N130</f>
        <v>0</v>
      </c>
      <c r="O132" s="141"/>
      <c r="P132" s="117"/>
      <c r="Q132" s="117"/>
      <c r="R132" s="117"/>
      <c r="S132" s="117" t="n">
        <f aca="false">S131/S130</f>
        <v>0.333333333333333</v>
      </c>
    </row>
    <row r="133" customFormat="false" ht="12.75" hidden="false" customHeight="false" outlineLevel="0" collapsed="false">
      <c r="A133" s="157"/>
      <c r="B133" s="107" t="n">
        <v>2016</v>
      </c>
      <c r="C133" s="109" t="n">
        <v>1</v>
      </c>
      <c r="D133" s="126" t="n">
        <v>0</v>
      </c>
      <c r="E133" s="109" t="n">
        <v>0</v>
      </c>
      <c r="F133" s="126" t="n">
        <v>0</v>
      </c>
      <c r="G133" s="109" t="n">
        <v>0</v>
      </c>
      <c r="H133" s="109" t="n">
        <v>0</v>
      </c>
      <c r="I133" s="126" t="n">
        <v>0</v>
      </c>
      <c r="J133" s="108" t="n">
        <v>0</v>
      </c>
      <c r="K133" s="109" t="n">
        <v>0</v>
      </c>
      <c r="L133" s="109" t="n">
        <v>0</v>
      </c>
      <c r="M133" s="109" t="n">
        <v>0</v>
      </c>
      <c r="N133" s="109" t="n">
        <v>0</v>
      </c>
      <c r="O133" s="137"/>
      <c r="P133" s="137"/>
      <c r="Q133" s="137"/>
      <c r="R133" s="137"/>
      <c r="S133" s="109" t="n">
        <f aca="false">C133+D133+E133+F133+G133+H133+I133+J133+K133+L133+M133+N133+O133</f>
        <v>1</v>
      </c>
    </row>
    <row r="134" customFormat="false" ht="12.75" hidden="false" customHeight="false" outlineLevel="0" collapsed="false">
      <c r="A134" s="138" t="s">
        <v>58</v>
      </c>
      <c r="B134" s="107" t="n">
        <v>2015</v>
      </c>
      <c r="C134" s="109" t="n">
        <v>0</v>
      </c>
      <c r="D134" s="126" t="n">
        <v>0</v>
      </c>
      <c r="E134" s="109" t="n">
        <v>0</v>
      </c>
      <c r="F134" s="126" t="n">
        <v>0</v>
      </c>
      <c r="G134" s="151" t="n">
        <v>0</v>
      </c>
      <c r="H134" s="109" t="n">
        <v>0</v>
      </c>
      <c r="I134" s="126" t="n">
        <v>0</v>
      </c>
      <c r="J134" s="108" t="n">
        <v>0</v>
      </c>
      <c r="K134" s="109" t="n">
        <v>0</v>
      </c>
      <c r="L134" s="109" t="n">
        <v>0</v>
      </c>
      <c r="M134" s="109" t="n">
        <v>0</v>
      </c>
      <c r="N134" s="109" t="n">
        <v>0</v>
      </c>
      <c r="O134" s="137"/>
      <c r="P134" s="137"/>
      <c r="Q134" s="137"/>
      <c r="R134" s="137"/>
      <c r="S134" s="109" t="n">
        <f aca="false">C134+D134+E134+F134+G134+H134+I134+J134+K134+L134+M134+N134+O134</f>
        <v>0</v>
      </c>
    </row>
    <row r="135" customFormat="false" ht="12.75" hidden="false" customHeight="false" outlineLevel="0" collapsed="false">
      <c r="A135" s="138" t="s">
        <v>59</v>
      </c>
      <c r="B135" s="112" t="s">
        <v>53</v>
      </c>
      <c r="C135" s="109" t="n">
        <f aca="false">C133-C134</f>
        <v>1</v>
      </c>
      <c r="D135" s="126" t="n">
        <f aca="false">D133-D134</f>
        <v>0</v>
      </c>
      <c r="E135" s="109" t="n">
        <f aca="false">E133-E134</f>
        <v>0</v>
      </c>
      <c r="F135" s="126" t="n">
        <f aca="false">F133-F134</f>
        <v>0</v>
      </c>
      <c r="G135" s="151" t="n">
        <f aca="false">G133-G134</f>
        <v>0</v>
      </c>
      <c r="H135" s="109" t="n">
        <f aca="false">H133-H134</f>
        <v>0</v>
      </c>
      <c r="I135" s="126" t="n">
        <v>0</v>
      </c>
      <c r="J135" s="108" t="n">
        <f aca="false">J133-J134</f>
        <v>0</v>
      </c>
      <c r="K135" s="109" t="n">
        <f aca="false">K133-K134</f>
        <v>0</v>
      </c>
      <c r="L135" s="109" t="n">
        <f aca="false">L133-L134</f>
        <v>0</v>
      </c>
      <c r="M135" s="109" t="n">
        <f aca="false">M133-M134</f>
        <v>0</v>
      </c>
      <c r="N135" s="109" t="n">
        <f aca="false">N133-N134</f>
        <v>0</v>
      </c>
      <c r="O135" s="137"/>
      <c r="P135" s="137"/>
      <c r="Q135" s="137"/>
      <c r="R135" s="137"/>
      <c r="S135" s="109" t="n">
        <f aca="false">S133-S134</f>
        <v>1</v>
      </c>
    </row>
    <row r="136" customFormat="false" ht="13.5" hidden="false" customHeight="false" outlineLevel="0" collapsed="false">
      <c r="A136" s="153"/>
      <c r="B136" s="114" t="s">
        <v>9</v>
      </c>
      <c r="C136" s="117" t="n">
        <v>0</v>
      </c>
      <c r="D136" s="117" t="n">
        <v>0</v>
      </c>
      <c r="E136" s="117" t="n">
        <v>0</v>
      </c>
      <c r="F136" s="117" t="n">
        <v>0</v>
      </c>
      <c r="G136" s="117" t="n">
        <v>0</v>
      </c>
      <c r="H136" s="117" t="n">
        <v>0</v>
      </c>
      <c r="I136" s="117" t="n">
        <v>0</v>
      </c>
      <c r="J136" s="116" t="n">
        <v>0</v>
      </c>
      <c r="K136" s="117" t="n">
        <v>0</v>
      </c>
      <c r="L136" s="117" t="n">
        <v>0</v>
      </c>
      <c r="M136" s="117" t="n">
        <v>0</v>
      </c>
      <c r="N136" s="117" t="n">
        <v>0</v>
      </c>
      <c r="O136" s="141"/>
      <c r="P136" s="141"/>
      <c r="Q136" s="141"/>
      <c r="R136" s="141"/>
      <c r="S136" s="117" t="n">
        <v>0</v>
      </c>
    </row>
    <row r="137" customFormat="false" ht="12.75" hidden="false" customHeight="false" outlineLevel="0" collapsed="false">
      <c r="A137" s="157"/>
      <c r="B137" s="107" t="n">
        <v>2016</v>
      </c>
      <c r="C137" s="109" t="n">
        <v>2</v>
      </c>
      <c r="D137" s="126" t="n">
        <v>4</v>
      </c>
      <c r="E137" s="109" t="n">
        <v>23</v>
      </c>
      <c r="F137" s="126" t="n">
        <v>6</v>
      </c>
      <c r="G137" s="109" t="n">
        <v>11</v>
      </c>
      <c r="H137" s="109" t="n">
        <v>1</v>
      </c>
      <c r="I137" s="126" t="n">
        <v>6</v>
      </c>
      <c r="J137" s="108" t="n">
        <f aca="false">24+5</f>
        <v>29</v>
      </c>
      <c r="K137" s="109" t="n">
        <f aca="false">22+2</f>
        <v>24</v>
      </c>
      <c r="L137" s="109" t="n">
        <v>10</v>
      </c>
      <c r="M137" s="109" t="n">
        <v>31</v>
      </c>
      <c r="N137" s="109" t="n">
        <v>9</v>
      </c>
      <c r="O137" s="137"/>
      <c r="P137" s="137"/>
      <c r="Q137" s="137"/>
      <c r="R137" s="137"/>
      <c r="S137" s="109" t="n">
        <f aca="false">C137+D137+E137+F137+G137+H137+I137+J137+K137+L137+M137+N137+O137</f>
        <v>156</v>
      </c>
    </row>
    <row r="138" customFormat="false" ht="12.75" hidden="false" customHeight="false" outlineLevel="0" collapsed="false">
      <c r="A138" s="138" t="s">
        <v>60</v>
      </c>
      <c r="B138" s="107" t="n">
        <v>2015</v>
      </c>
      <c r="C138" s="109" t="n">
        <v>2</v>
      </c>
      <c r="D138" s="126" t="n">
        <v>2</v>
      </c>
      <c r="E138" s="109" t="n">
        <v>27</v>
      </c>
      <c r="F138" s="126" t="n">
        <v>8</v>
      </c>
      <c r="G138" s="151" t="n">
        <v>11</v>
      </c>
      <c r="H138" s="109" t="n">
        <v>7</v>
      </c>
      <c r="I138" s="126" t="n">
        <v>22</v>
      </c>
      <c r="J138" s="108" t="n">
        <v>27</v>
      </c>
      <c r="K138" s="109" t="n">
        <v>22</v>
      </c>
      <c r="L138" s="109" t="n">
        <v>15</v>
      </c>
      <c r="M138" s="109" t="n">
        <v>38</v>
      </c>
      <c r="N138" s="109" t="n">
        <v>12</v>
      </c>
      <c r="O138" s="137"/>
      <c r="P138" s="137"/>
      <c r="Q138" s="137"/>
      <c r="R138" s="137"/>
      <c r="S138" s="109" t="n">
        <f aca="false">C138+D138+E138+F138+G138+H138+I138+J138+K138+L138+M138+N138+O138</f>
        <v>193</v>
      </c>
    </row>
    <row r="139" customFormat="false" ht="12.75" hidden="false" customHeight="false" outlineLevel="0" collapsed="false">
      <c r="A139" s="157"/>
      <c r="B139" s="112" t="s">
        <v>53</v>
      </c>
      <c r="C139" s="109" t="n">
        <f aca="false">C137-C138</f>
        <v>0</v>
      </c>
      <c r="D139" s="126" t="n">
        <f aca="false">D137-D138</f>
        <v>2</v>
      </c>
      <c r="E139" s="109" t="n">
        <f aca="false">E137-E138</f>
        <v>-4</v>
      </c>
      <c r="F139" s="126" t="n">
        <f aca="false">F137-F138</f>
        <v>-2</v>
      </c>
      <c r="G139" s="151" t="n">
        <f aca="false">G137-G138</f>
        <v>0</v>
      </c>
      <c r="H139" s="109" t="n">
        <f aca="false">H137-H138</f>
        <v>-6</v>
      </c>
      <c r="I139" s="126" t="n">
        <f aca="false">I137-I138</f>
        <v>-16</v>
      </c>
      <c r="J139" s="108" t="n">
        <f aca="false">J137-J138</f>
        <v>2</v>
      </c>
      <c r="K139" s="109" t="n">
        <f aca="false">K137-K138</f>
        <v>2</v>
      </c>
      <c r="L139" s="109" t="n">
        <f aca="false">L137-L138</f>
        <v>-5</v>
      </c>
      <c r="M139" s="109" t="n">
        <f aca="false">M137-M138</f>
        <v>-7</v>
      </c>
      <c r="N139" s="109" t="n">
        <f aca="false">N137-N138</f>
        <v>-3</v>
      </c>
      <c r="O139" s="137"/>
      <c r="P139" s="137"/>
      <c r="Q139" s="137"/>
      <c r="R139" s="137"/>
      <c r="S139" s="109" t="n">
        <f aca="false">S137-S138</f>
        <v>-37</v>
      </c>
    </row>
    <row r="140" customFormat="false" ht="13.5" hidden="false" customHeight="false" outlineLevel="0" collapsed="false">
      <c r="A140" s="153"/>
      <c r="B140" s="114" t="s">
        <v>9</v>
      </c>
      <c r="C140" s="117" t="n">
        <f aca="false">C139/C138</f>
        <v>0</v>
      </c>
      <c r="D140" s="117" t="n">
        <f aca="false">D139/D138</f>
        <v>1</v>
      </c>
      <c r="E140" s="117" t="n">
        <f aca="false">E139/E138</f>
        <v>-0.148148148148148</v>
      </c>
      <c r="F140" s="117" t="n">
        <f aca="false">F139/F138</f>
        <v>-0.25</v>
      </c>
      <c r="G140" s="117" t="n">
        <f aca="false">G139/G138</f>
        <v>0</v>
      </c>
      <c r="H140" s="117" t="n">
        <f aca="false">H139/H138</f>
        <v>-0.857142857142857</v>
      </c>
      <c r="I140" s="117" t="n">
        <f aca="false">I139/I138</f>
        <v>-0.727272727272727</v>
      </c>
      <c r="J140" s="116" t="n">
        <f aca="false">J139/J138</f>
        <v>0.0740740740740741</v>
      </c>
      <c r="K140" s="117" t="n">
        <f aca="false">K139/K138</f>
        <v>0.0909090909090909</v>
      </c>
      <c r="L140" s="116" t="n">
        <f aca="false">L139/L138</f>
        <v>-0.333333333333333</v>
      </c>
      <c r="M140" s="117" t="n">
        <f aca="false">M139/M138</f>
        <v>-0.184210526315789</v>
      </c>
      <c r="N140" s="117" t="n">
        <f aca="false">N139/N138</f>
        <v>-0.25</v>
      </c>
      <c r="O140" s="141"/>
      <c r="P140" s="141"/>
      <c r="Q140" s="141"/>
      <c r="R140" s="141"/>
      <c r="S140" s="117" t="n">
        <f aca="false">S139/S138</f>
        <v>-0.191709844559585</v>
      </c>
    </row>
    <row r="141" customFormat="false" ht="12.75" hidden="false" customHeight="false" outlineLevel="0" collapsed="false">
      <c r="A141" s="157"/>
      <c r="B141" s="107" t="n">
        <v>2016</v>
      </c>
      <c r="C141" s="171" t="n">
        <v>15</v>
      </c>
      <c r="D141" s="172" t="n">
        <v>16</v>
      </c>
      <c r="E141" s="171" t="n">
        <v>53</v>
      </c>
      <c r="F141" s="172" t="n">
        <f aca="false">25+6+1</f>
        <v>32</v>
      </c>
      <c r="G141" s="171" t="n">
        <v>17</v>
      </c>
      <c r="H141" s="171" t="n">
        <v>22</v>
      </c>
      <c r="I141" s="172" t="n">
        <v>48</v>
      </c>
      <c r="J141" s="173" t="n">
        <f aca="false">48+2</f>
        <v>50</v>
      </c>
      <c r="K141" s="171" t="n">
        <f aca="false">47+1</f>
        <v>48</v>
      </c>
      <c r="L141" s="171" t="n">
        <f aca="false">27+2</f>
        <v>29</v>
      </c>
      <c r="M141" s="171" t="n">
        <v>55</v>
      </c>
      <c r="N141" s="171" t="n">
        <v>29</v>
      </c>
      <c r="O141" s="174"/>
      <c r="P141" s="174"/>
      <c r="Q141" s="174"/>
      <c r="R141" s="174"/>
      <c r="S141" s="171" t="n">
        <f aca="false">C141+D141+E141+F141+G141+H141+I141+J141+K141+L141+M141+N141+O141</f>
        <v>414</v>
      </c>
    </row>
    <row r="142" customFormat="false" ht="12.75" hidden="false" customHeight="false" outlineLevel="0" collapsed="false">
      <c r="A142" s="138" t="s">
        <v>61</v>
      </c>
      <c r="B142" s="107" t="n">
        <v>2015</v>
      </c>
      <c r="C142" s="109" t="n">
        <v>24</v>
      </c>
      <c r="D142" s="126" t="n">
        <v>19</v>
      </c>
      <c r="E142" s="109" t="n">
        <v>42</v>
      </c>
      <c r="F142" s="126" t="n">
        <v>15</v>
      </c>
      <c r="G142" s="151" t="n">
        <v>18</v>
      </c>
      <c r="H142" s="109" t="n">
        <v>22</v>
      </c>
      <c r="I142" s="126" t="n">
        <v>50</v>
      </c>
      <c r="J142" s="108" t="n">
        <v>64</v>
      </c>
      <c r="K142" s="109" t="n">
        <v>28</v>
      </c>
      <c r="L142" s="109" t="n">
        <v>30</v>
      </c>
      <c r="M142" s="109" t="n">
        <v>38</v>
      </c>
      <c r="N142" s="109" t="n">
        <v>28</v>
      </c>
      <c r="O142" s="137"/>
      <c r="P142" s="137"/>
      <c r="Q142" s="137"/>
      <c r="R142" s="137"/>
      <c r="S142" s="109" t="n">
        <f aca="false">C142+D142+E142+F142+G142+H142+I142+J142+K142+L142+M142+N142+O142</f>
        <v>378</v>
      </c>
    </row>
    <row r="143" customFormat="false" ht="12.75" hidden="false" customHeight="false" outlineLevel="0" collapsed="false">
      <c r="A143" s="138" t="s">
        <v>62</v>
      </c>
      <c r="B143" s="112" t="s">
        <v>53</v>
      </c>
      <c r="C143" s="109" t="n">
        <f aca="false">C141-C142</f>
        <v>-9</v>
      </c>
      <c r="D143" s="126" t="n">
        <f aca="false">D141-D142</f>
        <v>-3</v>
      </c>
      <c r="E143" s="109" t="n">
        <f aca="false">E141-E142</f>
        <v>11</v>
      </c>
      <c r="F143" s="126" t="n">
        <f aca="false">F141-F142</f>
        <v>17</v>
      </c>
      <c r="G143" s="151" t="n">
        <f aca="false">G141-G142</f>
        <v>-1</v>
      </c>
      <c r="H143" s="109" t="n">
        <f aca="false">H141-H142</f>
        <v>0</v>
      </c>
      <c r="I143" s="109" t="n">
        <f aca="false">I141-I142</f>
        <v>-2</v>
      </c>
      <c r="J143" s="108" t="n">
        <f aca="false">J141-J142</f>
        <v>-14</v>
      </c>
      <c r="K143" s="109" t="n">
        <f aca="false">K141-K142</f>
        <v>20</v>
      </c>
      <c r="L143" s="109" t="n">
        <f aca="false">L141-L142</f>
        <v>-1</v>
      </c>
      <c r="M143" s="109" t="n">
        <f aca="false">M141-M142</f>
        <v>17</v>
      </c>
      <c r="N143" s="109" t="n">
        <f aca="false">N141-N142</f>
        <v>1</v>
      </c>
      <c r="O143" s="137"/>
      <c r="P143" s="109"/>
      <c r="Q143" s="109"/>
      <c r="R143" s="109"/>
      <c r="S143" s="109" t="n">
        <f aca="false">S141-S142</f>
        <v>36</v>
      </c>
    </row>
    <row r="144" customFormat="false" ht="13.5" hidden="false" customHeight="false" outlineLevel="0" collapsed="false">
      <c r="A144" s="153"/>
      <c r="B144" s="114" t="s">
        <v>9</v>
      </c>
      <c r="C144" s="117" t="n">
        <f aca="false">C143/C142</f>
        <v>-0.375</v>
      </c>
      <c r="D144" s="117" t="n">
        <f aca="false">D143/D142</f>
        <v>-0.157894736842105</v>
      </c>
      <c r="E144" s="117" t="n">
        <f aca="false">E143/E142</f>
        <v>0.261904761904762</v>
      </c>
      <c r="F144" s="117" t="n">
        <f aca="false">F143/F142</f>
        <v>1.13333333333333</v>
      </c>
      <c r="G144" s="143" t="n">
        <f aca="false">G143/G142</f>
        <v>-0.0555555555555556</v>
      </c>
      <c r="H144" s="117" t="n">
        <f aca="false">H143/H142</f>
        <v>0</v>
      </c>
      <c r="I144" s="117" t="n">
        <f aca="false">I143/I142</f>
        <v>-0.04</v>
      </c>
      <c r="J144" s="116" t="n">
        <f aca="false">J143/J142</f>
        <v>-0.21875</v>
      </c>
      <c r="K144" s="117" t="n">
        <f aca="false">K143/K142</f>
        <v>0.714285714285714</v>
      </c>
      <c r="L144" s="117" t="n">
        <f aca="false">L143/L142</f>
        <v>-0.0333333333333333</v>
      </c>
      <c r="M144" s="117" t="n">
        <f aca="false">M143/M142</f>
        <v>0.447368421052632</v>
      </c>
      <c r="N144" s="117" t="n">
        <f aca="false">N143/N142</f>
        <v>0.0357142857142857</v>
      </c>
      <c r="O144" s="141"/>
      <c r="P144" s="141"/>
      <c r="Q144" s="141"/>
      <c r="R144" s="141"/>
      <c r="S144" s="117" t="n">
        <f aca="false">S143/S142</f>
        <v>0.0952380952380952</v>
      </c>
    </row>
    <row r="145" customFormat="false" ht="12.75" hidden="false" customHeight="false" outlineLevel="0" collapsed="false">
      <c r="A145" s="157"/>
      <c r="B145" s="107" t="n">
        <v>2016</v>
      </c>
      <c r="C145" s="109" t="n">
        <v>23</v>
      </c>
      <c r="D145" s="126" t="n">
        <v>18</v>
      </c>
      <c r="E145" s="109" t="n">
        <f aca="false">71+9</f>
        <v>80</v>
      </c>
      <c r="F145" s="126" t="n">
        <f aca="false">38+4</f>
        <v>42</v>
      </c>
      <c r="G145" s="109" t="n">
        <v>25</v>
      </c>
      <c r="H145" s="109" t="n">
        <v>30</v>
      </c>
      <c r="I145" s="126" t="n">
        <v>28</v>
      </c>
      <c r="J145" s="108" t="n">
        <f aca="false">76+12</f>
        <v>88</v>
      </c>
      <c r="K145" s="109" t="n">
        <f aca="false">67+6</f>
        <v>73</v>
      </c>
      <c r="L145" s="109" t="n">
        <v>13</v>
      </c>
      <c r="M145" s="109" t="n">
        <v>89</v>
      </c>
      <c r="N145" s="109" t="n">
        <v>39</v>
      </c>
      <c r="O145" s="137"/>
      <c r="P145" s="137"/>
      <c r="Q145" s="137"/>
      <c r="R145" s="137"/>
      <c r="S145" s="109" t="n">
        <f aca="false">C145+D145+E145+F145+G145+H145+I145+J145+K145+L145+M145+N145+O145</f>
        <v>548</v>
      </c>
    </row>
    <row r="146" customFormat="false" ht="12.75" hidden="false" customHeight="false" outlineLevel="0" collapsed="false">
      <c r="A146" s="138" t="s">
        <v>63</v>
      </c>
      <c r="B146" s="107" t="n">
        <v>2015</v>
      </c>
      <c r="C146" s="109" t="n">
        <v>27</v>
      </c>
      <c r="D146" s="126" t="n">
        <v>25</v>
      </c>
      <c r="E146" s="109" t="n">
        <v>77</v>
      </c>
      <c r="F146" s="126" t="n">
        <v>46</v>
      </c>
      <c r="G146" s="151" t="n">
        <v>31</v>
      </c>
      <c r="H146" s="109" t="n">
        <v>31</v>
      </c>
      <c r="I146" s="126" t="n">
        <v>35</v>
      </c>
      <c r="J146" s="108" t="n">
        <v>60</v>
      </c>
      <c r="K146" s="109" t="n">
        <v>71</v>
      </c>
      <c r="L146" s="109" t="n">
        <v>23</v>
      </c>
      <c r="M146" s="109" t="n">
        <v>97</v>
      </c>
      <c r="N146" s="109" t="n">
        <v>46</v>
      </c>
      <c r="O146" s="137"/>
      <c r="P146" s="137"/>
      <c r="Q146" s="137"/>
      <c r="R146" s="137"/>
      <c r="S146" s="109" t="n">
        <f aca="false">C146+D146+E146+F146+G146+H146+I146+J146+K146+L146+M146+N146+O146</f>
        <v>569</v>
      </c>
    </row>
    <row r="147" customFormat="false" ht="12.75" hidden="false" customHeight="false" outlineLevel="0" collapsed="false">
      <c r="A147" s="157"/>
      <c r="B147" s="112" t="s">
        <v>53</v>
      </c>
      <c r="C147" s="109" t="n">
        <f aca="false">C145-C146</f>
        <v>-4</v>
      </c>
      <c r="D147" s="126" t="n">
        <f aca="false">D145-D146</f>
        <v>-7</v>
      </c>
      <c r="E147" s="109" t="n">
        <f aca="false">E145-E146</f>
        <v>3</v>
      </c>
      <c r="F147" s="126" t="n">
        <f aca="false">F145-F146</f>
        <v>-4</v>
      </c>
      <c r="G147" s="151" t="n">
        <f aca="false">G145-G146</f>
        <v>-6</v>
      </c>
      <c r="H147" s="151" t="n">
        <f aca="false">H145-H146</f>
        <v>-1</v>
      </c>
      <c r="I147" s="151" t="n">
        <f aca="false">I145-I146</f>
        <v>-7</v>
      </c>
      <c r="J147" s="151" t="n">
        <f aca="false">J145-J146</f>
        <v>28</v>
      </c>
      <c r="K147" s="109" t="n">
        <f aca="false">K145-K146</f>
        <v>2</v>
      </c>
      <c r="L147" s="109" t="n">
        <f aca="false">L145-L146</f>
        <v>-10</v>
      </c>
      <c r="M147" s="109" t="n">
        <f aca="false">M145-M146</f>
        <v>-8</v>
      </c>
      <c r="N147" s="109" t="n">
        <f aca="false">N145-N146</f>
        <v>-7</v>
      </c>
      <c r="O147" s="137"/>
      <c r="P147" s="137"/>
      <c r="Q147" s="137"/>
      <c r="R147" s="137"/>
      <c r="S147" s="109" t="n">
        <f aca="false">S145-S146</f>
        <v>-21</v>
      </c>
    </row>
    <row r="148" customFormat="false" ht="13.5" hidden="false" customHeight="false" outlineLevel="0" collapsed="false">
      <c r="A148" s="153"/>
      <c r="B148" s="114" t="s">
        <v>9</v>
      </c>
      <c r="C148" s="117" t="n">
        <f aca="false">C147/C146</f>
        <v>-0.148148148148148</v>
      </c>
      <c r="D148" s="140" t="n">
        <f aca="false">D147/D146</f>
        <v>-0.28</v>
      </c>
      <c r="E148" s="117" t="n">
        <f aca="false">E147/E146</f>
        <v>0.038961038961039</v>
      </c>
      <c r="F148" s="140" t="n">
        <f aca="false">F147/F146</f>
        <v>-0.0869565217391304</v>
      </c>
      <c r="G148" s="143" t="n">
        <f aca="false">G147/G146</f>
        <v>-0.193548387096774</v>
      </c>
      <c r="H148" s="117" t="n">
        <f aca="false">H147/H146</f>
        <v>-0.032258064516129</v>
      </c>
      <c r="I148" s="140" t="n">
        <f aca="false">I147/I146</f>
        <v>-0.2</v>
      </c>
      <c r="J148" s="116" t="n">
        <f aca="false">J147/J146</f>
        <v>0.466666666666667</v>
      </c>
      <c r="K148" s="117" t="n">
        <f aca="false">K147/K146</f>
        <v>0.028169014084507</v>
      </c>
      <c r="L148" s="117" t="n">
        <f aca="false">L147/L146</f>
        <v>-0.434782608695652</v>
      </c>
      <c r="M148" s="117" t="n">
        <f aca="false">M147/M146</f>
        <v>-0.0824742268041237</v>
      </c>
      <c r="N148" s="117" t="n">
        <f aca="false">N147/N146</f>
        <v>-0.152173913043478</v>
      </c>
      <c r="O148" s="141"/>
      <c r="P148" s="141"/>
      <c r="Q148" s="141"/>
      <c r="R148" s="141"/>
      <c r="S148" s="117" t="n">
        <f aca="false">S147/S146</f>
        <v>-0.0369068541300527</v>
      </c>
    </row>
    <row r="149" customFormat="false" ht="12.75" hidden="false" customHeight="false" outlineLevel="0" collapsed="false">
      <c r="A149" s="157"/>
      <c r="B149" s="107" t="n">
        <v>2016</v>
      </c>
      <c r="C149" s="109" t="n">
        <v>83</v>
      </c>
      <c r="D149" s="126" t="n">
        <v>49</v>
      </c>
      <c r="E149" s="109" t="n">
        <f aca="false">137+9</f>
        <v>146</v>
      </c>
      <c r="F149" s="126" t="n">
        <f aca="false">56+6+1</f>
        <v>63</v>
      </c>
      <c r="G149" s="109" t="n">
        <f aca="false">133+18</f>
        <v>151</v>
      </c>
      <c r="H149" s="109" t="n">
        <v>48</v>
      </c>
      <c r="I149" s="126" t="n">
        <v>117</v>
      </c>
      <c r="J149" s="108" t="n">
        <f aca="false">264+48</f>
        <v>312</v>
      </c>
      <c r="K149" s="109" t="n">
        <f aca="false">257+20</f>
        <v>277</v>
      </c>
      <c r="L149" s="109" t="n">
        <f aca="false">73+6</f>
        <v>79</v>
      </c>
      <c r="M149" s="109" t="n">
        <f aca="false">249+40</f>
        <v>289</v>
      </c>
      <c r="N149" s="109" t="n">
        <f aca="false">76+12</f>
        <v>88</v>
      </c>
      <c r="O149" s="137"/>
      <c r="P149" s="137"/>
      <c r="Q149" s="137"/>
      <c r="R149" s="137"/>
      <c r="S149" s="109" t="n">
        <f aca="false">C149+D149+E149+F149+G149+H149+I149+J149+K149+L149+M149+N149+O149</f>
        <v>1702</v>
      </c>
    </row>
    <row r="150" customFormat="false" ht="12.75" hidden="false" customHeight="false" outlineLevel="0" collapsed="false">
      <c r="A150" s="138" t="s">
        <v>64</v>
      </c>
      <c r="B150" s="107" t="n">
        <v>2015</v>
      </c>
      <c r="C150" s="109" t="n">
        <v>75</v>
      </c>
      <c r="D150" s="126" t="n">
        <v>31</v>
      </c>
      <c r="E150" s="109" t="n">
        <v>201</v>
      </c>
      <c r="F150" s="126" t="n">
        <v>60</v>
      </c>
      <c r="G150" s="151" t="n">
        <v>141</v>
      </c>
      <c r="H150" s="109" t="n">
        <v>68</v>
      </c>
      <c r="I150" s="126" t="n">
        <v>107</v>
      </c>
      <c r="J150" s="108" t="n">
        <v>333</v>
      </c>
      <c r="K150" s="109" t="n">
        <v>294</v>
      </c>
      <c r="L150" s="109" t="n">
        <v>82</v>
      </c>
      <c r="M150" s="109" t="n">
        <v>325</v>
      </c>
      <c r="N150" s="109" t="n">
        <v>117</v>
      </c>
      <c r="O150" s="137"/>
      <c r="P150" s="137"/>
      <c r="Q150" s="137"/>
      <c r="R150" s="137"/>
      <c r="S150" s="109" t="n">
        <f aca="false">C150+D150+E150+F150+G150+H150+I150+J150+K150+L150+M150+N150+O150</f>
        <v>1834</v>
      </c>
    </row>
    <row r="151" customFormat="false" ht="12.75" hidden="false" customHeight="false" outlineLevel="0" collapsed="false">
      <c r="A151" s="138" t="s">
        <v>65</v>
      </c>
      <c r="B151" s="112" t="s">
        <v>53</v>
      </c>
      <c r="C151" s="109" t="n">
        <f aca="false">C149-C150</f>
        <v>8</v>
      </c>
      <c r="D151" s="109" t="n">
        <f aca="false">D149-D150</f>
        <v>18</v>
      </c>
      <c r="E151" s="109" t="n">
        <f aca="false">E149-E150</f>
        <v>-55</v>
      </c>
      <c r="F151" s="126" t="n">
        <f aca="false">F149-F150</f>
        <v>3</v>
      </c>
      <c r="G151" s="151" t="n">
        <f aca="false">G149-G150</f>
        <v>10</v>
      </c>
      <c r="H151" s="109" t="n">
        <f aca="false">H149-H150</f>
        <v>-20</v>
      </c>
      <c r="I151" s="126" t="n">
        <f aca="false">I149-I150</f>
        <v>10</v>
      </c>
      <c r="J151" s="108" t="n">
        <f aca="false">J149-J150</f>
        <v>-21</v>
      </c>
      <c r="K151" s="109" t="n">
        <f aca="false">K149-K150</f>
        <v>-17</v>
      </c>
      <c r="L151" s="109" t="n">
        <f aca="false">L149-L150</f>
        <v>-3</v>
      </c>
      <c r="M151" s="109" t="n">
        <f aca="false">M149-M150</f>
        <v>-36</v>
      </c>
      <c r="N151" s="109" t="n">
        <f aca="false">N149-N150</f>
        <v>-29</v>
      </c>
      <c r="O151" s="137"/>
      <c r="P151" s="137"/>
      <c r="Q151" s="137"/>
      <c r="R151" s="137"/>
      <c r="S151" s="109" t="n">
        <f aca="false">S149-S150</f>
        <v>-132</v>
      </c>
    </row>
    <row r="152" customFormat="false" ht="13.5" hidden="false" customHeight="false" outlineLevel="0" collapsed="false">
      <c r="A152" s="153"/>
      <c r="B152" s="114" t="s">
        <v>9</v>
      </c>
      <c r="C152" s="117" t="n">
        <f aca="false">C151/C150</f>
        <v>0.106666666666667</v>
      </c>
      <c r="D152" s="140" t="n">
        <f aca="false">D151/D150</f>
        <v>0.580645161290323</v>
      </c>
      <c r="E152" s="117" t="n">
        <f aca="false">E151/E150</f>
        <v>-0.27363184079602</v>
      </c>
      <c r="F152" s="140" t="n">
        <f aca="false">F151/F150</f>
        <v>0.05</v>
      </c>
      <c r="G152" s="143" t="n">
        <f aca="false">G151/G150</f>
        <v>0.0709219858156028</v>
      </c>
      <c r="H152" s="117" t="n">
        <f aca="false">H151/H150</f>
        <v>-0.294117647058824</v>
      </c>
      <c r="I152" s="140" t="n">
        <f aca="false">I151/I150</f>
        <v>0.0934579439252336</v>
      </c>
      <c r="J152" s="116" t="n">
        <f aca="false">J151/J150</f>
        <v>-0.0630630630630631</v>
      </c>
      <c r="K152" s="117" t="n">
        <f aca="false">K151/K150</f>
        <v>-0.0578231292517007</v>
      </c>
      <c r="L152" s="117" t="n">
        <f aca="false">L151/L150</f>
        <v>-0.0365853658536585</v>
      </c>
      <c r="M152" s="117" t="n">
        <f aca="false">M151/M150</f>
        <v>-0.110769230769231</v>
      </c>
      <c r="N152" s="117" t="n">
        <f aca="false">N151/N150</f>
        <v>-0.247863247863248</v>
      </c>
      <c r="O152" s="141"/>
      <c r="P152" s="141"/>
      <c r="Q152" s="141"/>
      <c r="R152" s="141"/>
      <c r="S152" s="117" t="n">
        <f aca="false">S151/S150</f>
        <v>-0.0719738276990185</v>
      </c>
    </row>
    <row r="153" customFormat="false" ht="12.75" hidden="false" customHeight="false" outlineLevel="0" collapsed="false">
      <c r="A153" s="157"/>
      <c r="B153" s="107" t="n">
        <v>2016</v>
      </c>
      <c r="C153" s="109" t="n">
        <v>0</v>
      </c>
      <c r="D153" s="126" t="n">
        <v>0</v>
      </c>
      <c r="E153" s="109" t="n">
        <v>10</v>
      </c>
      <c r="F153" s="126" t="n">
        <f aca="false">6+1</f>
        <v>7</v>
      </c>
      <c r="G153" s="109" t="n">
        <v>9</v>
      </c>
      <c r="H153" s="109" t="n">
        <v>5</v>
      </c>
      <c r="I153" s="126" t="n">
        <v>3</v>
      </c>
      <c r="J153" s="108" t="n">
        <v>10</v>
      </c>
      <c r="K153" s="109" t="n">
        <v>24</v>
      </c>
      <c r="L153" s="109" t="n">
        <v>7</v>
      </c>
      <c r="M153" s="109" t="n">
        <v>21</v>
      </c>
      <c r="N153" s="109" t="n">
        <v>3</v>
      </c>
      <c r="O153" s="137"/>
      <c r="P153" s="137"/>
      <c r="Q153" s="137"/>
      <c r="R153" s="137"/>
      <c r="S153" s="109" t="n">
        <f aca="false">C153+D153+E153+F153+G153+H153+I153+J153+K153+L153+M153+N153+O153</f>
        <v>99</v>
      </c>
    </row>
    <row r="154" customFormat="false" ht="12.75" hidden="false" customHeight="false" outlineLevel="0" collapsed="false">
      <c r="A154" s="138" t="s">
        <v>66</v>
      </c>
      <c r="B154" s="107" t="n">
        <v>2015</v>
      </c>
      <c r="C154" s="109" t="n">
        <v>0</v>
      </c>
      <c r="D154" s="126" t="n">
        <v>1</v>
      </c>
      <c r="E154" s="109" t="n">
        <v>13</v>
      </c>
      <c r="F154" s="126" t="n">
        <v>0</v>
      </c>
      <c r="G154" s="151" t="n">
        <v>12</v>
      </c>
      <c r="H154" s="109" t="n">
        <v>7</v>
      </c>
      <c r="I154" s="126" t="n">
        <v>3</v>
      </c>
      <c r="J154" s="108" t="n">
        <v>18</v>
      </c>
      <c r="K154" s="109" t="n">
        <v>14</v>
      </c>
      <c r="L154" s="109" t="n">
        <v>6</v>
      </c>
      <c r="M154" s="109" t="n">
        <v>17</v>
      </c>
      <c r="N154" s="109" t="n">
        <v>10</v>
      </c>
      <c r="O154" s="137"/>
      <c r="P154" s="137"/>
      <c r="Q154" s="137"/>
      <c r="R154" s="137"/>
      <c r="S154" s="109" t="n">
        <f aca="false">C154+D154+E154+F154+G154+H154+I154+J154+K154+L154+M154+N154+O154</f>
        <v>101</v>
      </c>
    </row>
    <row r="155" customFormat="false" ht="12.75" hidden="false" customHeight="false" outlineLevel="0" collapsed="false">
      <c r="A155" s="138" t="s">
        <v>67</v>
      </c>
      <c r="B155" s="112" t="s">
        <v>53</v>
      </c>
      <c r="C155" s="109" t="n">
        <f aca="false">C153-C154</f>
        <v>0</v>
      </c>
      <c r="D155" s="126" t="n">
        <f aca="false">D153-D154</f>
        <v>-1</v>
      </c>
      <c r="E155" s="109" t="n">
        <f aca="false">E153-E154</f>
        <v>-3</v>
      </c>
      <c r="F155" s="126" t="n">
        <f aca="false">F153-F154</f>
        <v>7</v>
      </c>
      <c r="G155" s="151" t="n">
        <f aca="false">G153-G154</f>
        <v>-3</v>
      </c>
      <c r="H155" s="109" t="n">
        <f aca="false">H153-H154</f>
        <v>-2</v>
      </c>
      <c r="I155" s="126" t="n">
        <f aca="false">I153-I154</f>
        <v>0</v>
      </c>
      <c r="J155" s="108" t="n">
        <f aca="false">J153-J154</f>
        <v>-8</v>
      </c>
      <c r="K155" s="109" t="n">
        <f aca="false">K153-K154</f>
        <v>10</v>
      </c>
      <c r="L155" s="109" t="n">
        <f aca="false">L153-L154</f>
        <v>1</v>
      </c>
      <c r="M155" s="109" t="n">
        <f aca="false">M153-M154</f>
        <v>4</v>
      </c>
      <c r="N155" s="109" t="n">
        <f aca="false">N153-N154</f>
        <v>-7</v>
      </c>
      <c r="O155" s="137"/>
      <c r="P155" s="137"/>
      <c r="Q155" s="137"/>
      <c r="R155" s="137"/>
      <c r="S155" s="109" t="n">
        <f aca="false">S153-S154</f>
        <v>-2</v>
      </c>
    </row>
    <row r="156" customFormat="false" ht="13.5" hidden="false" customHeight="false" outlineLevel="0" collapsed="false">
      <c r="A156" s="153"/>
      <c r="B156" s="114" t="s">
        <v>9</v>
      </c>
      <c r="C156" s="117" t="n">
        <v>0</v>
      </c>
      <c r="D156" s="117" t="n">
        <f aca="false">D155/D154</f>
        <v>-1</v>
      </c>
      <c r="E156" s="117" t="n">
        <f aca="false">E155/E154</f>
        <v>-0.230769230769231</v>
      </c>
      <c r="F156" s="117" t="n">
        <v>0</v>
      </c>
      <c r="G156" s="117" t="n">
        <f aca="false">G155/G154</f>
        <v>-0.25</v>
      </c>
      <c r="H156" s="117" t="n">
        <f aca="false">H155/H154</f>
        <v>-0.285714285714286</v>
      </c>
      <c r="I156" s="117" t="n">
        <f aca="false">I155/I154</f>
        <v>0</v>
      </c>
      <c r="J156" s="116" t="n">
        <f aca="false">J155/J154</f>
        <v>-0.444444444444444</v>
      </c>
      <c r="K156" s="117" t="n">
        <f aca="false">K155/K154</f>
        <v>0.714285714285714</v>
      </c>
      <c r="L156" s="117" t="n">
        <f aca="false">L155/L154</f>
        <v>0.166666666666667</v>
      </c>
      <c r="M156" s="117" t="n">
        <f aca="false">M155/M154</f>
        <v>0.235294117647059</v>
      </c>
      <c r="N156" s="117" t="n">
        <f aca="false">N155/N154</f>
        <v>-0.7</v>
      </c>
      <c r="O156" s="141"/>
      <c r="P156" s="141"/>
      <c r="Q156" s="141"/>
      <c r="R156" s="141"/>
      <c r="S156" s="117" t="n">
        <f aca="false">S155/S154</f>
        <v>-0.0198019801980198</v>
      </c>
    </row>
    <row r="157" customFormat="false" ht="13.5" hidden="false" customHeight="false" outlineLevel="0" collapsed="false">
      <c r="A157" s="154" t="s">
        <v>105</v>
      </c>
      <c r="B157" s="124"/>
      <c r="C157" s="125"/>
      <c r="D157" s="125"/>
      <c r="E157" s="125"/>
      <c r="F157" s="125"/>
      <c r="G157" s="125"/>
      <c r="H157" s="125"/>
      <c r="I157" s="125"/>
      <c r="J157" s="125"/>
      <c r="K157" s="125"/>
      <c r="L157" s="125"/>
      <c r="M157" s="125"/>
      <c r="N157" s="125"/>
      <c r="O157" s="125"/>
      <c r="P157" s="125"/>
      <c r="Q157" s="125"/>
      <c r="R157" s="125"/>
      <c r="S157" s="125"/>
    </row>
    <row r="158" customFormat="false" ht="13.5" hidden="false" customHeight="false" outlineLevel="0" collapsed="false">
      <c r="A158" s="127"/>
      <c r="B158" s="128"/>
      <c r="C158" s="129" t="s">
        <v>106</v>
      </c>
      <c r="D158" s="129" t="s">
        <v>107</v>
      </c>
      <c r="E158" s="130" t="s">
        <v>108</v>
      </c>
      <c r="F158" s="129" t="s">
        <v>109</v>
      </c>
      <c r="G158" s="129" t="s">
        <v>110</v>
      </c>
      <c r="H158" s="135"/>
      <c r="I158" s="134"/>
      <c r="J158" s="135"/>
      <c r="K158" s="134"/>
      <c r="L158" s="135"/>
      <c r="M158" s="134"/>
      <c r="N158" s="134"/>
      <c r="O158" s="134"/>
      <c r="P158" s="134"/>
      <c r="Q158" s="134"/>
      <c r="R158" s="135"/>
      <c r="S158" s="134" t="s">
        <v>51</v>
      </c>
    </row>
    <row r="159" customFormat="false" ht="12.75" hidden="false" customHeight="false" outlineLevel="0" collapsed="false">
      <c r="A159" s="136"/>
      <c r="B159" s="107" t="n">
        <v>2016</v>
      </c>
      <c r="C159" s="109" t="n">
        <f aca="false">C163+C167+C175+C179+C183+C187+C191</f>
        <v>580</v>
      </c>
      <c r="D159" s="109" t="n">
        <f aca="false">D163+D167+D175+D179+D183+D187+D191</f>
        <v>222</v>
      </c>
      <c r="E159" s="109" t="n">
        <f aca="false">E163+E167+E175+E179+E183+E187+E191</f>
        <v>64</v>
      </c>
      <c r="F159" s="109" t="n">
        <f aca="false">F163+F167+F175+F179+F183+F187+F191</f>
        <v>126</v>
      </c>
      <c r="G159" s="109" t="n">
        <f aca="false">G163+G167+G175+G179+G183+G187+G191</f>
        <v>179</v>
      </c>
      <c r="H159" s="137"/>
      <c r="I159" s="109"/>
      <c r="J159" s="109"/>
      <c r="K159" s="109"/>
      <c r="L159" s="109"/>
      <c r="M159" s="109"/>
      <c r="N159" s="109"/>
      <c r="O159" s="109"/>
      <c r="P159" s="109"/>
      <c r="Q159" s="109"/>
      <c r="R159" s="137"/>
      <c r="S159" s="109" t="n">
        <f aca="false">S163+S167+S175+S179+S183+S187+S191</f>
        <v>1171</v>
      </c>
    </row>
    <row r="160" customFormat="false" ht="12.75" hidden="false" customHeight="false" outlineLevel="0" collapsed="false">
      <c r="A160" s="138" t="s">
        <v>52</v>
      </c>
      <c r="B160" s="107" t="n">
        <v>2015</v>
      </c>
      <c r="C160" s="109" t="n">
        <f aca="false">C164+C168+C176+C180+C184+C188+C192</f>
        <v>577</v>
      </c>
      <c r="D160" s="109" t="n">
        <f aca="false">D164+D168+D176+D180+D184+D188+D192</f>
        <v>256</v>
      </c>
      <c r="E160" s="109" t="n">
        <f aca="false">E164+E168+E176+E180+E184+E188+E192</f>
        <v>91</v>
      </c>
      <c r="F160" s="109" t="n">
        <f aca="false">F164+F168+F176+F180+F184+F188+F192</f>
        <v>171</v>
      </c>
      <c r="G160" s="109" t="n">
        <f aca="false">G164+G168+G176+G180+G184+G188+G192</f>
        <v>263</v>
      </c>
      <c r="H160" s="137"/>
      <c r="I160" s="109"/>
      <c r="J160" s="109"/>
      <c r="K160" s="109"/>
      <c r="L160" s="109"/>
      <c r="M160" s="109"/>
      <c r="N160" s="109"/>
      <c r="O160" s="109"/>
      <c r="P160" s="109"/>
      <c r="Q160" s="109"/>
      <c r="R160" s="137"/>
      <c r="S160" s="109" t="n">
        <f aca="false">S164+S168+S176+S180+S184+S188+S192</f>
        <v>1358</v>
      </c>
    </row>
    <row r="161" customFormat="false" ht="12.75" hidden="false" customHeight="false" outlineLevel="0" collapsed="false">
      <c r="A161" s="136"/>
      <c r="B161" s="112" t="s">
        <v>53</v>
      </c>
      <c r="C161" s="109" t="n">
        <f aca="false">C159-C160</f>
        <v>3</v>
      </c>
      <c r="D161" s="109" t="n">
        <f aca="false">D159-D160</f>
        <v>-34</v>
      </c>
      <c r="E161" s="126" t="n">
        <f aca="false">E159-E160</f>
        <v>-27</v>
      </c>
      <c r="F161" s="109" t="n">
        <f aca="false">F159-F160</f>
        <v>-45</v>
      </c>
      <c r="G161" s="109" t="n">
        <f aca="false">G159-G160</f>
        <v>-84</v>
      </c>
      <c r="H161" s="126"/>
      <c r="I161" s="109"/>
      <c r="J161" s="126"/>
      <c r="K161" s="109"/>
      <c r="L161" s="126"/>
      <c r="M161" s="109"/>
      <c r="N161" s="109"/>
      <c r="O161" s="109"/>
      <c r="P161" s="109"/>
      <c r="Q161" s="109"/>
      <c r="R161" s="126"/>
      <c r="S161" s="109" t="n">
        <f aca="false">S159-S160</f>
        <v>-187</v>
      </c>
    </row>
    <row r="162" customFormat="false" ht="13.5" hidden="false" customHeight="false" outlineLevel="0" collapsed="false">
      <c r="A162" s="139"/>
      <c r="B162" s="114" t="s">
        <v>9</v>
      </c>
      <c r="C162" s="117" t="n">
        <f aca="false">C161/C160</f>
        <v>0.00519930675909879</v>
      </c>
      <c r="D162" s="117" t="n">
        <f aca="false">D161/D160</f>
        <v>-0.1328125</v>
      </c>
      <c r="E162" s="140" t="n">
        <f aca="false">E161/E160</f>
        <v>-0.296703296703297</v>
      </c>
      <c r="F162" s="117" t="n">
        <f aca="false">F161/F160</f>
        <v>-0.263157894736842</v>
      </c>
      <c r="G162" s="117" t="n">
        <f aca="false">G161/G160</f>
        <v>-0.319391634980989</v>
      </c>
      <c r="H162" s="140"/>
      <c r="I162" s="117"/>
      <c r="J162" s="140"/>
      <c r="K162" s="117"/>
      <c r="L162" s="140"/>
      <c r="M162" s="117"/>
      <c r="N162" s="117"/>
      <c r="O162" s="117"/>
      <c r="P162" s="117"/>
      <c r="Q162" s="117"/>
      <c r="R162" s="140"/>
      <c r="S162" s="117" t="n">
        <f aca="false">S161/S160</f>
        <v>-0.137702503681885</v>
      </c>
    </row>
    <row r="163" customFormat="false" ht="12.75" hidden="false" customHeight="false" outlineLevel="0" collapsed="false">
      <c r="A163" s="136"/>
      <c r="B163" s="107" t="n">
        <v>2016</v>
      </c>
      <c r="C163" s="109" t="n">
        <v>11</v>
      </c>
      <c r="D163" s="109" t="n">
        <v>6</v>
      </c>
      <c r="E163" s="126" t="n">
        <v>0</v>
      </c>
      <c r="F163" s="109" t="n">
        <v>4</v>
      </c>
      <c r="G163" s="109" t="n">
        <v>4</v>
      </c>
      <c r="H163" s="126"/>
      <c r="I163" s="109"/>
      <c r="J163" s="126"/>
      <c r="K163" s="109"/>
      <c r="L163" s="126"/>
      <c r="M163" s="109"/>
      <c r="N163" s="109"/>
      <c r="O163" s="109"/>
      <c r="P163" s="109"/>
      <c r="Q163" s="109"/>
      <c r="R163" s="126"/>
      <c r="S163" s="109" t="n">
        <f aca="false">C163+D163+E163+F163+G163</f>
        <v>25</v>
      </c>
    </row>
    <row r="164" customFormat="false" ht="12.75" hidden="false" customHeight="false" outlineLevel="0" collapsed="false">
      <c r="A164" s="175" t="s">
        <v>54</v>
      </c>
      <c r="B164" s="107" t="n">
        <v>2015</v>
      </c>
      <c r="C164" s="109" t="n">
        <v>10</v>
      </c>
      <c r="D164" s="109" t="n">
        <v>3</v>
      </c>
      <c r="E164" s="126" t="n">
        <v>0</v>
      </c>
      <c r="F164" s="109" t="n">
        <v>1</v>
      </c>
      <c r="G164" s="109" t="n">
        <v>10</v>
      </c>
      <c r="H164" s="126"/>
      <c r="I164" s="109"/>
      <c r="J164" s="126"/>
      <c r="K164" s="109"/>
      <c r="L164" s="126"/>
      <c r="M164" s="109"/>
      <c r="N164" s="109"/>
      <c r="O164" s="109"/>
      <c r="P164" s="109"/>
      <c r="Q164" s="109"/>
      <c r="R164" s="126"/>
      <c r="S164" s="109" t="n">
        <f aca="false">C164+D164+E164+F164+G164</f>
        <v>24</v>
      </c>
    </row>
    <row r="165" customFormat="false" ht="12.75" hidden="false" customHeight="false" outlineLevel="0" collapsed="false">
      <c r="A165" s="175" t="s">
        <v>55</v>
      </c>
      <c r="B165" s="112" t="s">
        <v>53</v>
      </c>
      <c r="C165" s="109" t="n">
        <f aca="false">C163-C164</f>
        <v>1</v>
      </c>
      <c r="D165" s="109" t="n">
        <f aca="false">D163-D164</f>
        <v>3</v>
      </c>
      <c r="E165" s="126" t="n">
        <f aca="false">E163-E164</f>
        <v>0</v>
      </c>
      <c r="F165" s="109" t="n">
        <f aca="false">F163-F164</f>
        <v>3</v>
      </c>
      <c r="G165" s="109" t="n">
        <f aca="false">G163-G164</f>
        <v>-6</v>
      </c>
      <c r="H165" s="126"/>
      <c r="I165" s="109"/>
      <c r="J165" s="126"/>
      <c r="K165" s="109"/>
      <c r="L165" s="126"/>
      <c r="M165" s="109"/>
      <c r="N165" s="109"/>
      <c r="O165" s="109"/>
      <c r="P165" s="109"/>
      <c r="Q165" s="109"/>
      <c r="R165" s="126"/>
      <c r="S165" s="109" t="n">
        <f aca="false">S163-S164</f>
        <v>1</v>
      </c>
    </row>
    <row r="166" customFormat="false" ht="13.5" hidden="false" customHeight="false" outlineLevel="0" collapsed="false">
      <c r="A166" s="142"/>
      <c r="B166" s="114" t="s">
        <v>9</v>
      </c>
      <c r="C166" s="117" t="n">
        <f aca="false">C165/C164</f>
        <v>0.1</v>
      </c>
      <c r="D166" s="117" t="n">
        <f aca="false">D165/D164</f>
        <v>1</v>
      </c>
      <c r="E166" s="117" t="n">
        <v>0</v>
      </c>
      <c r="F166" s="117" t="n">
        <v>0</v>
      </c>
      <c r="G166" s="117" t="n">
        <f aca="false">G165/G164</f>
        <v>-0.6</v>
      </c>
      <c r="H166" s="140"/>
      <c r="I166" s="117"/>
      <c r="J166" s="140"/>
      <c r="K166" s="117"/>
      <c r="L166" s="140"/>
      <c r="M166" s="117"/>
      <c r="N166" s="117"/>
      <c r="O166" s="117"/>
      <c r="P166" s="117"/>
      <c r="Q166" s="117"/>
      <c r="R166" s="140"/>
      <c r="S166" s="117" t="n">
        <f aca="false">S165/S164</f>
        <v>0.0416666666666667</v>
      </c>
    </row>
    <row r="167" customFormat="false" ht="12.75" hidden="false" customHeight="false" outlineLevel="0" collapsed="false">
      <c r="A167" s="144"/>
      <c r="B167" s="107" t="n">
        <v>2016</v>
      </c>
      <c r="C167" s="109" t="n">
        <v>3</v>
      </c>
      <c r="D167" s="109" t="n">
        <v>1</v>
      </c>
      <c r="E167" s="126" t="n">
        <v>1</v>
      </c>
      <c r="F167" s="109" t="n">
        <v>3</v>
      </c>
      <c r="G167" s="109" t="n">
        <v>1</v>
      </c>
      <c r="H167" s="126"/>
      <c r="I167" s="109"/>
      <c r="J167" s="126"/>
      <c r="K167" s="109"/>
      <c r="L167" s="126"/>
      <c r="M167" s="109"/>
      <c r="N167" s="109"/>
      <c r="O167" s="109"/>
      <c r="P167" s="109"/>
      <c r="Q167" s="109"/>
      <c r="R167" s="126"/>
      <c r="S167" s="109" t="n">
        <f aca="false">C167+D167+E167+F167+G167</f>
        <v>9</v>
      </c>
    </row>
    <row r="168" customFormat="false" ht="12.75" hidden="false" customHeight="false" outlineLevel="0" collapsed="false">
      <c r="A168" s="175" t="s">
        <v>56</v>
      </c>
      <c r="B168" s="107" t="n">
        <v>2015</v>
      </c>
      <c r="C168" s="109" t="n">
        <v>3</v>
      </c>
      <c r="D168" s="109" t="n">
        <v>1</v>
      </c>
      <c r="E168" s="126" t="n">
        <v>0</v>
      </c>
      <c r="F168" s="109" t="n">
        <v>1</v>
      </c>
      <c r="G168" s="109" t="n">
        <v>2</v>
      </c>
      <c r="H168" s="126"/>
      <c r="I168" s="109"/>
      <c r="J168" s="126"/>
      <c r="K168" s="109"/>
      <c r="L168" s="126"/>
      <c r="M168" s="109"/>
      <c r="N168" s="109"/>
      <c r="O168" s="109"/>
      <c r="P168" s="109"/>
      <c r="Q168" s="109"/>
      <c r="R168" s="126"/>
      <c r="S168" s="109" t="n">
        <f aca="false">C168+D168+E168+F168+G168</f>
        <v>7</v>
      </c>
    </row>
    <row r="169" customFormat="false" ht="12.75" hidden="false" customHeight="false" outlineLevel="0" collapsed="false">
      <c r="A169" s="175" t="s">
        <v>57</v>
      </c>
      <c r="B169" s="112" t="s">
        <v>53</v>
      </c>
      <c r="C169" s="109" t="n">
        <f aca="false">C167-C168</f>
        <v>0</v>
      </c>
      <c r="D169" s="109" t="n">
        <f aca="false">D167-D168</f>
        <v>0</v>
      </c>
      <c r="E169" s="126" t="n">
        <f aca="false">E167-E168</f>
        <v>1</v>
      </c>
      <c r="F169" s="109" t="n">
        <f aca="false">F167-F168</f>
        <v>2</v>
      </c>
      <c r="G169" s="109" t="n">
        <f aca="false">G167-G168</f>
        <v>-1</v>
      </c>
      <c r="H169" s="126"/>
      <c r="I169" s="109"/>
      <c r="J169" s="126"/>
      <c r="K169" s="109"/>
      <c r="L169" s="126"/>
      <c r="M169" s="109"/>
      <c r="N169" s="109"/>
      <c r="O169" s="109"/>
      <c r="P169" s="109"/>
      <c r="Q169" s="109"/>
      <c r="R169" s="126"/>
      <c r="S169" s="109" t="n">
        <f aca="false">S167-S168</f>
        <v>2</v>
      </c>
    </row>
    <row r="170" customFormat="false" ht="13.5" hidden="false" customHeight="false" outlineLevel="0" collapsed="false">
      <c r="A170" s="142"/>
      <c r="B170" s="114" t="s">
        <v>9</v>
      </c>
      <c r="C170" s="117" t="n">
        <f aca="false">C169/C168</f>
        <v>0</v>
      </c>
      <c r="D170" s="117" t="n">
        <f aca="false">D169/D168</f>
        <v>0</v>
      </c>
      <c r="E170" s="117" t="n">
        <v>0</v>
      </c>
      <c r="F170" s="117" t="n">
        <f aca="false">F169/F168</f>
        <v>2</v>
      </c>
      <c r="G170" s="117" t="n">
        <f aca="false">G169/G168</f>
        <v>-0.5</v>
      </c>
      <c r="H170" s="140"/>
      <c r="I170" s="117"/>
      <c r="J170" s="140"/>
      <c r="K170" s="117"/>
      <c r="L170" s="140"/>
      <c r="M170" s="117"/>
      <c r="N170" s="117"/>
      <c r="O170" s="117"/>
      <c r="P170" s="117"/>
      <c r="Q170" s="117"/>
      <c r="R170" s="140"/>
      <c r="S170" s="117" t="n">
        <f aca="false">S169/S168</f>
        <v>0.285714285714286</v>
      </c>
    </row>
    <row r="171" customFormat="false" ht="12.75" hidden="false" customHeight="false" outlineLevel="0" collapsed="false">
      <c r="A171" s="176"/>
      <c r="B171" s="107" t="n">
        <v>2016</v>
      </c>
      <c r="C171" s="177" t="n">
        <v>0</v>
      </c>
      <c r="D171" s="177" t="n">
        <v>0</v>
      </c>
      <c r="E171" s="178" t="n">
        <v>0</v>
      </c>
      <c r="F171" s="177" t="n">
        <v>0</v>
      </c>
      <c r="G171" s="177" t="n">
        <v>0</v>
      </c>
      <c r="H171" s="161"/>
      <c r="I171" s="159"/>
      <c r="J171" s="161"/>
      <c r="K171" s="159"/>
      <c r="L171" s="161"/>
      <c r="M171" s="159"/>
      <c r="N171" s="159"/>
      <c r="O171" s="159"/>
      <c r="P171" s="159"/>
      <c r="Q171" s="159"/>
      <c r="R171" s="161"/>
      <c r="S171" s="109" t="n">
        <f aca="false">C171+D171+E171+F171+G171</f>
        <v>0</v>
      </c>
    </row>
    <row r="172" customFormat="false" ht="12.75" hidden="false" customHeight="false" outlineLevel="0" collapsed="false">
      <c r="A172" s="162" t="s">
        <v>58</v>
      </c>
      <c r="B172" s="107" t="n">
        <v>2015</v>
      </c>
      <c r="C172" s="151" t="n">
        <v>0</v>
      </c>
      <c r="D172" s="151" t="n">
        <v>0</v>
      </c>
      <c r="E172" s="179" t="n">
        <v>0</v>
      </c>
      <c r="F172" s="151" t="n">
        <v>0</v>
      </c>
      <c r="G172" s="151" t="n">
        <v>0</v>
      </c>
      <c r="H172" s="165"/>
      <c r="I172" s="163"/>
      <c r="J172" s="165"/>
      <c r="K172" s="163"/>
      <c r="L172" s="165"/>
      <c r="M172" s="163"/>
      <c r="N172" s="163"/>
      <c r="O172" s="163"/>
      <c r="P172" s="163"/>
      <c r="Q172" s="163"/>
      <c r="R172" s="165"/>
      <c r="S172" s="109" t="n">
        <f aca="false">C172+D172+E172+F172+G172</f>
        <v>0</v>
      </c>
    </row>
    <row r="173" customFormat="false" ht="12.75" hidden="false" customHeight="false" outlineLevel="0" collapsed="false">
      <c r="A173" s="162" t="s">
        <v>59</v>
      </c>
      <c r="B173" s="180" t="s">
        <v>53</v>
      </c>
      <c r="C173" s="151" t="n">
        <f aca="false">C171-C172</f>
        <v>0</v>
      </c>
      <c r="D173" s="151" t="n">
        <f aca="false">D171-D172</f>
        <v>0</v>
      </c>
      <c r="E173" s="179" t="n">
        <f aca="false">E171-E172</f>
        <v>0</v>
      </c>
      <c r="F173" s="151" t="n">
        <f aca="false">F171-F172</f>
        <v>0</v>
      </c>
      <c r="G173" s="151" t="n">
        <f aca="false">G171-G172</f>
        <v>0</v>
      </c>
      <c r="H173" s="165"/>
      <c r="I173" s="163"/>
      <c r="J173" s="165"/>
      <c r="K173" s="163"/>
      <c r="L173" s="165"/>
      <c r="M173" s="163"/>
      <c r="N173" s="163"/>
      <c r="O173" s="163"/>
      <c r="P173" s="163"/>
      <c r="Q173" s="163"/>
      <c r="R173" s="165"/>
      <c r="S173" s="109" t="n">
        <f aca="false">S171-S172</f>
        <v>0</v>
      </c>
    </row>
    <row r="174" customFormat="false" ht="13.5" hidden="false" customHeight="false" outlineLevel="0" collapsed="false">
      <c r="A174" s="181"/>
      <c r="B174" s="182" t="s">
        <v>9</v>
      </c>
      <c r="C174" s="143" t="n">
        <v>0</v>
      </c>
      <c r="D174" s="143" t="n">
        <v>0</v>
      </c>
      <c r="E174" s="143" t="n">
        <v>0</v>
      </c>
      <c r="F174" s="143" t="n">
        <v>0</v>
      </c>
      <c r="G174" s="143" t="n">
        <v>0</v>
      </c>
      <c r="H174" s="168"/>
      <c r="I174" s="143"/>
      <c r="J174" s="168"/>
      <c r="K174" s="143"/>
      <c r="L174" s="168"/>
      <c r="M174" s="143"/>
      <c r="N174" s="143"/>
      <c r="O174" s="143"/>
      <c r="P174" s="143"/>
      <c r="Q174" s="143"/>
      <c r="R174" s="168"/>
      <c r="S174" s="117" t="n">
        <v>0</v>
      </c>
    </row>
    <row r="175" customFormat="false" ht="12.75" hidden="false" customHeight="false" outlineLevel="0" collapsed="false">
      <c r="A175" s="144"/>
      <c r="B175" s="107" t="n">
        <v>2016</v>
      </c>
      <c r="C175" s="109" t="n">
        <v>60</v>
      </c>
      <c r="D175" s="109" t="n">
        <v>26</v>
      </c>
      <c r="E175" s="126" t="n">
        <v>3</v>
      </c>
      <c r="F175" s="109" t="n">
        <v>9</v>
      </c>
      <c r="G175" s="109" t="n">
        <v>11</v>
      </c>
      <c r="H175" s="126"/>
      <c r="I175" s="109"/>
      <c r="J175" s="126"/>
      <c r="K175" s="109"/>
      <c r="L175" s="126"/>
      <c r="M175" s="109"/>
      <c r="N175" s="109"/>
      <c r="O175" s="109"/>
      <c r="P175" s="109"/>
      <c r="Q175" s="109"/>
      <c r="R175" s="126"/>
      <c r="S175" s="109" t="n">
        <f aca="false">C175+D175+E175+F175+G175</f>
        <v>109</v>
      </c>
    </row>
    <row r="176" customFormat="false" ht="12.75" hidden="false" customHeight="false" outlineLevel="0" collapsed="false">
      <c r="A176" s="175" t="s">
        <v>60</v>
      </c>
      <c r="B176" s="107" t="n">
        <v>2015</v>
      </c>
      <c r="C176" s="109" t="n">
        <v>64</v>
      </c>
      <c r="D176" s="109" t="n">
        <v>37</v>
      </c>
      <c r="E176" s="126" t="n">
        <v>8</v>
      </c>
      <c r="F176" s="109" t="n">
        <v>15</v>
      </c>
      <c r="G176" s="109" t="n">
        <v>15</v>
      </c>
      <c r="H176" s="126"/>
      <c r="I176" s="109"/>
      <c r="J176" s="126"/>
      <c r="K176" s="109"/>
      <c r="L176" s="126"/>
      <c r="M176" s="109"/>
      <c r="N176" s="109"/>
      <c r="O176" s="109"/>
      <c r="P176" s="109"/>
      <c r="Q176" s="109"/>
      <c r="R176" s="126"/>
      <c r="S176" s="109" t="n">
        <f aca="false">C176+D176+E176+F176+G176</f>
        <v>139</v>
      </c>
    </row>
    <row r="177" customFormat="false" ht="12.75" hidden="false" customHeight="false" outlineLevel="0" collapsed="false">
      <c r="A177" s="144"/>
      <c r="B177" s="112" t="s">
        <v>53</v>
      </c>
      <c r="C177" s="109" t="n">
        <f aca="false">C175-C176</f>
        <v>-4</v>
      </c>
      <c r="D177" s="109" t="n">
        <f aca="false">D175-D176</f>
        <v>-11</v>
      </c>
      <c r="E177" s="126" t="n">
        <f aca="false">E175-E176</f>
        <v>-5</v>
      </c>
      <c r="F177" s="109" t="n">
        <f aca="false">F175-F176</f>
        <v>-6</v>
      </c>
      <c r="G177" s="109" t="n">
        <f aca="false">G175-G176</f>
        <v>-4</v>
      </c>
      <c r="H177" s="126"/>
      <c r="I177" s="109"/>
      <c r="J177" s="126"/>
      <c r="K177" s="109"/>
      <c r="L177" s="126"/>
      <c r="M177" s="109"/>
      <c r="N177" s="109"/>
      <c r="O177" s="109"/>
      <c r="P177" s="109"/>
      <c r="Q177" s="109"/>
      <c r="R177" s="126"/>
      <c r="S177" s="109" t="n">
        <f aca="false">S175-S176</f>
        <v>-30</v>
      </c>
    </row>
    <row r="178" customFormat="false" ht="13.5" hidden="false" customHeight="false" outlineLevel="0" collapsed="false">
      <c r="A178" s="142"/>
      <c r="B178" s="114" t="s">
        <v>9</v>
      </c>
      <c r="C178" s="117" t="n">
        <f aca="false">C177/C176</f>
        <v>-0.0625</v>
      </c>
      <c r="D178" s="117" t="n">
        <f aca="false">D177/D176</f>
        <v>-0.297297297297297</v>
      </c>
      <c r="E178" s="117" t="n">
        <f aca="false">E177/E176</f>
        <v>-0.625</v>
      </c>
      <c r="F178" s="117" t="n">
        <f aca="false">F177/F176</f>
        <v>-0.4</v>
      </c>
      <c r="G178" s="117" t="n">
        <f aca="false">G177/G176</f>
        <v>-0.266666666666667</v>
      </c>
      <c r="H178" s="140"/>
      <c r="I178" s="117"/>
      <c r="J178" s="140"/>
      <c r="K178" s="117"/>
      <c r="L178" s="140"/>
      <c r="M178" s="117"/>
      <c r="N178" s="117"/>
      <c r="O178" s="117"/>
      <c r="P178" s="117"/>
      <c r="Q178" s="117"/>
      <c r="R178" s="140"/>
      <c r="S178" s="117" t="n">
        <f aca="false">S177/S176</f>
        <v>-0.215827338129496</v>
      </c>
    </row>
    <row r="179" customFormat="false" ht="12.75" hidden="false" customHeight="false" outlineLevel="0" collapsed="false">
      <c r="A179" s="144"/>
      <c r="B179" s="107" t="n">
        <v>2016</v>
      </c>
      <c r="C179" s="109" t="n">
        <v>31</v>
      </c>
      <c r="D179" s="109" t="n">
        <v>21</v>
      </c>
      <c r="E179" s="126" t="n">
        <v>7</v>
      </c>
      <c r="F179" s="109" t="n">
        <v>20</v>
      </c>
      <c r="G179" s="109" t="n">
        <v>22</v>
      </c>
      <c r="H179" s="126"/>
      <c r="I179" s="109"/>
      <c r="J179" s="126"/>
      <c r="K179" s="109"/>
      <c r="L179" s="126"/>
      <c r="M179" s="109"/>
      <c r="N179" s="109"/>
      <c r="O179" s="109"/>
      <c r="P179" s="109"/>
      <c r="Q179" s="109"/>
      <c r="R179" s="126"/>
      <c r="S179" s="109" t="n">
        <f aca="false">C179+D179+E179+F179+G179</f>
        <v>101</v>
      </c>
    </row>
    <row r="180" customFormat="false" ht="12.75" hidden="false" customHeight="false" outlineLevel="0" collapsed="false">
      <c r="A180" s="175" t="s">
        <v>61</v>
      </c>
      <c r="B180" s="107" t="n">
        <v>2015</v>
      </c>
      <c r="C180" s="109" t="n">
        <v>28</v>
      </c>
      <c r="D180" s="109" t="n">
        <v>9</v>
      </c>
      <c r="E180" s="126" t="n">
        <v>8</v>
      </c>
      <c r="F180" s="109" t="n">
        <v>13</v>
      </c>
      <c r="G180" s="109" t="n">
        <v>26</v>
      </c>
      <c r="H180" s="126"/>
      <c r="I180" s="109"/>
      <c r="J180" s="126"/>
      <c r="K180" s="109"/>
      <c r="L180" s="126"/>
      <c r="M180" s="109"/>
      <c r="N180" s="109"/>
      <c r="O180" s="109"/>
      <c r="P180" s="109"/>
      <c r="Q180" s="109"/>
      <c r="R180" s="126"/>
      <c r="S180" s="109" t="n">
        <f aca="false">C180+D180+E180+F180+G180</f>
        <v>84</v>
      </c>
    </row>
    <row r="181" customFormat="false" ht="12.75" hidden="false" customHeight="false" outlineLevel="0" collapsed="false">
      <c r="A181" s="175" t="s">
        <v>62</v>
      </c>
      <c r="B181" s="112" t="s">
        <v>53</v>
      </c>
      <c r="C181" s="109" t="n">
        <f aca="false">C179-C180</f>
        <v>3</v>
      </c>
      <c r="D181" s="109" t="n">
        <f aca="false">D179-D180</f>
        <v>12</v>
      </c>
      <c r="E181" s="126" t="n">
        <f aca="false">E179-E180</f>
        <v>-1</v>
      </c>
      <c r="F181" s="109" t="n">
        <f aca="false">F179-F180</f>
        <v>7</v>
      </c>
      <c r="G181" s="109" t="n">
        <f aca="false">G179-G180</f>
        <v>-4</v>
      </c>
      <c r="H181" s="126"/>
      <c r="I181" s="109"/>
      <c r="J181" s="126"/>
      <c r="K181" s="109"/>
      <c r="L181" s="126"/>
      <c r="M181" s="109"/>
      <c r="N181" s="109"/>
      <c r="O181" s="109"/>
      <c r="P181" s="109"/>
      <c r="Q181" s="109"/>
      <c r="R181" s="126"/>
      <c r="S181" s="109" t="n">
        <f aca="false">S179-S180</f>
        <v>17</v>
      </c>
    </row>
    <row r="182" customFormat="false" ht="13.5" hidden="false" customHeight="false" outlineLevel="0" collapsed="false">
      <c r="A182" s="142"/>
      <c r="B182" s="114" t="s">
        <v>9</v>
      </c>
      <c r="C182" s="117" t="n">
        <f aca="false">C181/C180</f>
        <v>0.107142857142857</v>
      </c>
      <c r="D182" s="143" t="n">
        <f aca="false">D181/D180</f>
        <v>1.33333333333333</v>
      </c>
      <c r="E182" s="117" t="n">
        <f aca="false">E181/E180</f>
        <v>-0.125</v>
      </c>
      <c r="F182" s="117" t="n">
        <f aca="false">F181/F180</f>
        <v>0.538461538461538</v>
      </c>
      <c r="G182" s="117" t="n">
        <f aca="false">G181/G180</f>
        <v>-0.153846153846154</v>
      </c>
      <c r="H182" s="140"/>
      <c r="I182" s="117"/>
      <c r="J182" s="140"/>
      <c r="K182" s="117"/>
      <c r="L182" s="140"/>
      <c r="M182" s="117"/>
      <c r="N182" s="117"/>
      <c r="O182" s="117"/>
      <c r="P182" s="117"/>
      <c r="Q182" s="117"/>
      <c r="R182" s="140"/>
      <c r="S182" s="117" t="n">
        <f aca="false">S181/S180</f>
        <v>0.202380952380952</v>
      </c>
    </row>
    <row r="183" customFormat="false" ht="12.75" hidden="false" customHeight="false" outlineLevel="0" collapsed="false">
      <c r="A183" s="144"/>
      <c r="B183" s="107" t="n">
        <v>2016</v>
      </c>
      <c r="C183" s="109" t="n">
        <v>190</v>
      </c>
      <c r="D183" s="109" t="n">
        <v>71</v>
      </c>
      <c r="E183" s="126" t="n">
        <v>11</v>
      </c>
      <c r="F183" s="109" t="n">
        <v>28</v>
      </c>
      <c r="G183" s="109" t="n">
        <v>56</v>
      </c>
      <c r="H183" s="126"/>
      <c r="I183" s="109"/>
      <c r="J183" s="126"/>
      <c r="K183" s="109"/>
      <c r="L183" s="126"/>
      <c r="M183" s="109"/>
      <c r="N183" s="109"/>
      <c r="O183" s="109"/>
      <c r="P183" s="109"/>
      <c r="Q183" s="109"/>
      <c r="R183" s="126"/>
      <c r="S183" s="109" t="n">
        <f aca="false">C183+D183+E183+F183+G183</f>
        <v>356</v>
      </c>
    </row>
    <row r="184" customFormat="false" ht="12.75" hidden="false" customHeight="false" outlineLevel="0" collapsed="false">
      <c r="A184" s="175" t="s">
        <v>63</v>
      </c>
      <c r="B184" s="107" t="n">
        <v>2015</v>
      </c>
      <c r="C184" s="109" t="n">
        <v>142</v>
      </c>
      <c r="D184" s="109" t="n">
        <v>81</v>
      </c>
      <c r="E184" s="126" t="n">
        <v>24</v>
      </c>
      <c r="F184" s="109" t="n">
        <v>60</v>
      </c>
      <c r="G184" s="109" t="n">
        <v>95</v>
      </c>
      <c r="H184" s="126"/>
      <c r="I184" s="109"/>
      <c r="J184" s="126"/>
      <c r="K184" s="109"/>
      <c r="L184" s="126"/>
      <c r="M184" s="109"/>
      <c r="N184" s="109"/>
      <c r="O184" s="109"/>
      <c r="P184" s="109"/>
      <c r="Q184" s="109"/>
      <c r="R184" s="126"/>
      <c r="S184" s="109" t="n">
        <f aca="false">C184+D184+E184+F184+G184</f>
        <v>402</v>
      </c>
    </row>
    <row r="185" customFormat="false" ht="12.75" hidden="false" customHeight="false" outlineLevel="0" collapsed="false">
      <c r="A185" s="144"/>
      <c r="B185" s="112" t="s">
        <v>53</v>
      </c>
      <c r="C185" s="109" t="n">
        <f aca="false">C183-C184</f>
        <v>48</v>
      </c>
      <c r="D185" s="109" t="n">
        <f aca="false">D183-D184</f>
        <v>-10</v>
      </c>
      <c r="E185" s="126" t="n">
        <f aca="false">E183-E184</f>
        <v>-13</v>
      </c>
      <c r="F185" s="109" t="n">
        <f aca="false">F183-F184</f>
        <v>-32</v>
      </c>
      <c r="G185" s="109" t="n">
        <f aca="false">G183-G184</f>
        <v>-39</v>
      </c>
      <c r="H185" s="126"/>
      <c r="I185" s="109"/>
      <c r="J185" s="126"/>
      <c r="K185" s="109"/>
      <c r="L185" s="126"/>
      <c r="M185" s="109"/>
      <c r="N185" s="109"/>
      <c r="O185" s="109"/>
      <c r="P185" s="109"/>
      <c r="Q185" s="109"/>
      <c r="R185" s="126"/>
      <c r="S185" s="109" t="n">
        <f aca="false">S183-S184</f>
        <v>-46</v>
      </c>
    </row>
    <row r="186" customFormat="false" ht="13.5" hidden="false" customHeight="false" outlineLevel="0" collapsed="false">
      <c r="A186" s="142"/>
      <c r="B186" s="114" t="s">
        <v>9</v>
      </c>
      <c r="C186" s="117" t="n">
        <f aca="false">C185/C184</f>
        <v>0.338028169014085</v>
      </c>
      <c r="D186" s="117" t="n">
        <f aca="false">D185/D184</f>
        <v>-0.123456790123457</v>
      </c>
      <c r="E186" s="140" t="n">
        <f aca="false">E185/E184</f>
        <v>-0.541666666666667</v>
      </c>
      <c r="F186" s="117" t="n">
        <f aca="false">F185/F184</f>
        <v>-0.533333333333333</v>
      </c>
      <c r="G186" s="117" t="n">
        <f aca="false">G185/G184</f>
        <v>-0.410526315789474</v>
      </c>
      <c r="H186" s="140"/>
      <c r="I186" s="117"/>
      <c r="J186" s="140"/>
      <c r="K186" s="117"/>
      <c r="L186" s="140"/>
      <c r="M186" s="117"/>
      <c r="N186" s="117"/>
      <c r="O186" s="117"/>
      <c r="P186" s="117"/>
      <c r="Q186" s="117"/>
      <c r="R186" s="140"/>
      <c r="S186" s="117" t="n">
        <f aca="false">S185/S184</f>
        <v>-0.114427860696517</v>
      </c>
    </row>
    <row r="187" customFormat="false" ht="12.75" hidden="false" customHeight="false" outlineLevel="0" collapsed="false">
      <c r="A187" s="144"/>
      <c r="B187" s="107" t="n">
        <v>2016</v>
      </c>
      <c r="C187" s="109" t="n">
        <v>258</v>
      </c>
      <c r="D187" s="109" t="n">
        <v>84</v>
      </c>
      <c r="E187" s="126" t="n">
        <v>39</v>
      </c>
      <c r="F187" s="109" t="n">
        <v>58</v>
      </c>
      <c r="G187" s="109" t="n">
        <v>81</v>
      </c>
      <c r="H187" s="126"/>
      <c r="I187" s="109"/>
      <c r="J187" s="126"/>
      <c r="K187" s="109"/>
      <c r="L187" s="126"/>
      <c r="M187" s="109"/>
      <c r="N187" s="109"/>
      <c r="O187" s="109"/>
      <c r="P187" s="109"/>
      <c r="Q187" s="109"/>
      <c r="R187" s="126"/>
      <c r="S187" s="109" t="n">
        <f aca="false">C187+D187+E187+F187+G187</f>
        <v>520</v>
      </c>
    </row>
    <row r="188" customFormat="false" ht="12.75" hidden="false" customHeight="false" outlineLevel="0" collapsed="false">
      <c r="A188" s="175" t="s">
        <v>64</v>
      </c>
      <c r="B188" s="107" t="n">
        <v>2015</v>
      </c>
      <c r="C188" s="109" t="n">
        <v>298</v>
      </c>
      <c r="D188" s="109" t="n">
        <v>107</v>
      </c>
      <c r="E188" s="126" t="n">
        <v>51</v>
      </c>
      <c r="F188" s="109" t="n">
        <v>72</v>
      </c>
      <c r="G188" s="109" t="n">
        <v>111</v>
      </c>
      <c r="H188" s="126"/>
      <c r="I188" s="109"/>
      <c r="J188" s="126"/>
      <c r="K188" s="109"/>
      <c r="L188" s="126"/>
      <c r="M188" s="109"/>
      <c r="N188" s="109"/>
      <c r="O188" s="109"/>
      <c r="P188" s="109"/>
      <c r="Q188" s="109"/>
      <c r="R188" s="126"/>
      <c r="S188" s="109" t="n">
        <f aca="false">C188+D188+E188+F188+G188</f>
        <v>639</v>
      </c>
    </row>
    <row r="189" customFormat="false" ht="12.75" hidden="false" customHeight="false" outlineLevel="0" collapsed="false">
      <c r="A189" s="175" t="s">
        <v>65</v>
      </c>
      <c r="B189" s="112" t="s">
        <v>53</v>
      </c>
      <c r="C189" s="109" t="n">
        <f aca="false">C187-C188</f>
        <v>-40</v>
      </c>
      <c r="D189" s="109" t="n">
        <f aca="false">D187-D188</f>
        <v>-23</v>
      </c>
      <c r="E189" s="126" t="n">
        <f aca="false">E187-E188</f>
        <v>-12</v>
      </c>
      <c r="F189" s="109" t="n">
        <f aca="false">F187-F188</f>
        <v>-14</v>
      </c>
      <c r="G189" s="109" t="n">
        <f aca="false">G187-G188</f>
        <v>-30</v>
      </c>
      <c r="H189" s="126"/>
      <c r="I189" s="109"/>
      <c r="J189" s="126"/>
      <c r="K189" s="109"/>
      <c r="L189" s="126"/>
      <c r="M189" s="109"/>
      <c r="N189" s="109"/>
      <c r="O189" s="109"/>
      <c r="P189" s="109"/>
      <c r="Q189" s="109"/>
      <c r="R189" s="126"/>
      <c r="S189" s="109" t="n">
        <f aca="false">S187-S188</f>
        <v>-119</v>
      </c>
    </row>
    <row r="190" customFormat="false" ht="13.5" hidden="false" customHeight="false" outlineLevel="0" collapsed="false">
      <c r="A190" s="142"/>
      <c r="B190" s="114" t="s">
        <v>9</v>
      </c>
      <c r="C190" s="117" t="n">
        <f aca="false">C189/C188</f>
        <v>-0.134228187919463</v>
      </c>
      <c r="D190" s="117" t="n">
        <f aca="false">D189/D188</f>
        <v>-0.214953271028037</v>
      </c>
      <c r="E190" s="117" t="n">
        <f aca="false">E189/E188</f>
        <v>-0.235294117647059</v>
      </c>
      <c r="F190" s="117" t="n">
        <f aca="false">F189/F188</f>
        <v>-0.194444444444444</v>
      </c>
      <c r="G190" s="117" t="n">
        <f aca="false">G189/G188</f>
        <v>-0.27027027027027</v>
      </c>
      <c r="H190" s="140"/>
      <c r="I190" s="117"/>
      <c r="J190" s="140"/>
      <c r="K190" s="117"/>
      <c r="L190" s="140"/>
      <c r="M190" s="117"/>
      <c r="N190" s="117"/>
      <c r="O190" s="117"/>
      <c r="P190" s="117"/>
      <c r="Q190" s="117"/>
      <c r="R190" s="140"/>
      <c r="S190" s="117" t="n">
        <f aca="false">S189/S188</f>
        <v>-0.18622848200313</v>
      </c>
    </row>
    <row r="191" customFormat="false" ht="12.75" hidden="false" customHeight="false" outlineLevel="0" collapsed="false">
      <c r="A191" s="144"/>
      <c r="B191" s="107" t="n">
        <v>2016</v>
      </c>
      <c r="C191" s="109" t="n">
        <v>27</v>
      </c>
      <c r="D191" s="109" t="n">
        <v>13</v>
      </c>
      <c r="E191" s="126" t="n">
        <v>3</v>
      </c>
      <c r="F191" s="109" t="n">
        <v>4</v>
      </c>
      <c r="G191" s="109" t="n">
        <v>4</v>
      </c>
      <c r="H191" s="126"/>
      <c r="I191" s="109"/>
      <c r="J191" s="126"/>
      <c r="K191" s="109"/>
      <c r="L191" s="126"/>
      <c r="M191" s="109"/>
      <c r="N191" s="109"/>
      <c r="O191" s="109"/>
      <c r="P191" s="109"/>
      <c r="Q191" s="109"/>
      <c r="R191" s="126"/>
      <c r="S191" s="109" t="n">
        <f aca="false">C191+D191+E191+F191+G191</f>
        <v>51</v>
      </c>
    </row>
    <row r="192" customFormat="false" ht="12.75" hidden="false" customHeight="false" outlineLevel="0" collapsed="false">
      <c r="A192" s="175" t="s">
        <v>66</v>
      </c>
      <c r="B192" s="107" t="n">
        <v>2015</v>
      </c>
      <c r="C192" s="109" t="n">
        <v>32</v>
      </c>
      <c r="D192" s="109" t="n">
        <v>18</v>
      </c>
      <c r="E192" s="126" t="n">
        <v>0</v>
      </c>
      <c r="F192" s="109" t="n">
        <v>9</v>
      </c>
      <c r="G192" s="109" t="n">
        <v>4</v>
      </c>
      <c r="H192" s="126"/>
      <c r="I192" s="109"/>
      <c r="J192" s="126"/>
      <c r="K192" s="109"/>
      <c r="L192" s="126"/>
      <c r="M192" s="109"/>
      <c r="N192" s="109"/>
      <c r="O192" s="109"/>
      <c r="P192" s="109"/>
      <c r="Q192" s="109"/>
      <c r="R192" s="126"/>
      <c r="S192" s="109" t="n">
        <f aca="false">C192+D192+E192+F192+G192</f>
        <v>63</v>
      </c>
    </row>
    <row r="193" customFormat="false" ht="12.75" hidden="false" customHeight="false" outlineLevel="0" collapsed="false">
      <c r="A193" s="175" t="s">
        <v>67</v>
      </c>
      <c r="B193" s="112" t="s">
        <v>53</v>
      </c>
      <c r="C193" s="109" t="n">
        <f aca="false">C191-C192</f>
        <v>-5</v>
      </c>
      <c r="D193" s="109" t="n">
        <f aca="false">D191-D192</f>
        <v>-5</v>
      </c>
      <c r="E193" s="126" t="n">
        <f aca="false">E191-E192</f>
        <v>3</v>
      </c>
      <c r="F193" s="109" t="n">
        <f aca="false">F191-F192</f>
        <v>-5</v>
      </c>
      <c r="G193" s="109" t="n">
        <f aca="false">G191-G192</f>
        <v>0</v>
      </c>
      <c r="H193" s="126"/>
      <c r="I193" s="109"/>
      <c r="J193" s="126"/>
      <c r="K193" s="109"/>
      <c r="L193" s="126"/>
      <c r="M193" s="109"/>
      <c r="N193" s="109"/>
      <c r="O193" s="109"/>
      <c r="P193" s="109"/>
      <c r="Q193" s="109"/>
      <c r="R193" s="126"/>
      <c r="S193" s="109" t="n">
        <f aca="false">S191-S192</f>
        <v>-12</v>
      </c>
    </row>
    <row r="194" customFormat="false" ht="13.5" hidden="false" customHeight="false" outlineLevel="0" collapsed="false">
      <c r="A194" s="142"/>
      <c r="B194" s="114" t="s">
        <v>9</v>
      </c>
      <c r="C194" s="117" t="n">
        <f aca="false">C193/C192</f>
        <v>-0.15625</v>
      </c>
      <c r="D194" s="117" t="n">
        <f aca="false">D193/D192</f>
        <v>-0.277777777777778</v>
      </c>
      <c r="E194" s="117" t="n">
        <v>0</v>
      </c>
      <c r="F194" s="117" t="n">
        <f aca="false">F193/F192</f>
        <v>-0.555555555555556</v>
      </c>
      <c r="G194" s="117" t="n">
        <f aca="false">G193/G192</f>
        <v>0</v>
      </c>
      <c r="H194" s="140"/>
      <c r="I194" s="117"/>
      <c r="J194" s="140"/>
      <c r="K194" s="117"/>
      <c r="L194" s="140"/>
      <c r="M194" s="117"/>
      <c r="N194" s="117"/>
      <c r="O194" s="117"/>
      <c r="P194" s="117"/>
      <c r="Q194" s="117"/>
      <c r="R194" s="140"/>
      <c r="S194" s="117" t="n">
        <f aca="false">S193/S192</f>
        <v>-0.19047619047619</v>
      </c>
    </row>
    <row r="195" customFormat="false" ht="13.5" hidden="false" customHeight="false" outlineLevel="0" collapsed="false">
      <c r="A195" s="154" t="s">
        <v>111</v>
      </c>
      <c r="B195" s="124"/>
      <c r="C195" s="125"/>
      <c r="D195" s="125"/>
      <c r="E195" s="125"/>
      <c r="F195" s="125"/>
      <c r="G195" s="125"/>
      <c r="H195" s="125"/>
      <c r="I195" s="125"/>
      <c r="J195" s="125"/>
      <c r="K195" s="125"/>
      <c r="L195" s="125"/>
      <c r="M195" s="125"/>
      <c r="N195" s="125"/>
      <c r="O195" s="125"/>
      <c r="P195" s="125"/>
      <c r="Q195" s="125"/>
      <c r="R195" s="125"/>
      <c r="S195" s="125"/>
    </row>
    <row r="196" customFormat="false" ht="23.25" hidden="false" customHeight="false" outlineLevel="0" collapsed="false">
      <c r="A196" s="127"/>
      <c r="B196" s="128"/>
      <c r="C196" s="129" t="s">
        <v>112</v>
      </c>
      <c r="D196" s="130" t="s">
        <v>113</v>
      </c>
      <c r="E196" s="129" t="s">
        <v>114</v>
      </c>
      <c r="F196" s="130" t="s">
        <v>115</v>
      </c>
      <c r="G196" s="129" t="s">
        <v>116</v>
      </c>
      <c r="H196" s="130" t="s">
        <v>117</v>
      </c>
      <c r="I196" s="132" t="s">
        <v>118</v>
      </c>
      <c r="J196" s="131" t="s">
        <v>119</v>
      </c>
      <c r="K196" s="132" t="s">
        <v>120</v>
      </c>
      <c r="L196" s="132" t="s">
        <v>121</v>
      </c>
      <c r="M196" s="132"/>
      <c r="N196" s="134"/>
      <c r="O196" s="134"/>
      <c r="P196" s="134"/>
      <c r="Q196" s="134"/>
      <c r="R196" s="135"/>
      <c r="S196" s="134" t="s">
        <v>51</v>
      </c>
    </row>
    <row r="197" customFormat="false" ht="12.75" hidden="false" customHeight="false" outlineLevel="0" collapsed="false">
      <c r="A197" s="136"/>
      <c r="B197" s="107" t="n">
        <v>2016</v>
      </c>
      <c r="C197" s="109" t="n">
        <f aca="false">C201+C205+C213+C217+C221+C225+C229</f>
        <v>130</v>
      </c>
      <c r="D197" s="109" t="n">
        <f aca="false">D201+D205+D213+D217+D221+D225+D229</f>
        <v>169</v>
      </c>
      <c r="E197" s="109" t="n">
        <f aca="false">E201+E205+E213+E217+E221+E225+E229</f>
        <v>83</v>
      </c>
      <c r="F197" s="109" t="n">
        <f aca="false">F201+F205+F213+F217+F221+F225+F229</f>
        <v>86</v>
      </c>
      <c r="G197" s="109" t="n">
        <f aca="false">G201+G205+G213+G217+G221+G225+G229</f>
        <v>62</v>
      </c>
      <c r="H197" s="109" t="n">
        <f aca="false">H201+H205+H213+H217+H221+H225+H229</f>
        <v>36</v>
      </c>
      <c r="I197" s="109" t="n">
        <f aca="false">I201+I205+I213+I217+I221+I225+I229</f>
        <v>698</v>
      </c>
      <c r="J197" s="109" t="n">
        <f aca="false">J201+J205+J213+J217+J221+J225+J229</f>
        <v>380</v>
      </c>
      <c r="K197" s="109" t="n">
        <f aca="false">K201+K205+K213+K217+K221+K225+K229</f>
        <v>109</v>
      </c>
      <c r="L197" s="109" t="n">
        <f aca="false">L201+L205+L213+L217+L221+L225+L229</f>
        <v>103</v>
      </c>
      <c r="M197" s="109"/>
      <c r="N197" s="109"/>
      <c r="O197" s="109"/>
      <c r="P197" s="109"/>
      <c r="Q197" s="109"/>
      <c r="R197" s="137"/>
      <c r="S197" s="109" t="n">
        <f aca="false">S201+S205+S213+S217+S221+S225+S229</f>
        <v>1856</v>
      </c>
    </row>
    <row r="198" customFormat="false" ht="12.75" hidden="false" customHeight="false" outlineLevel="0" collapsed="false">
      <c r="A198" s="138" t="s">
        <v>52</v>
      </c>
      <c r="B198" s="107" t="n">
        <v>2015</v>
      </c>
      <c r="C198" s="109" t="n">
        <f aca="false">C202+C206+C214+C218+C222+C226+C230</f>
        <v>87</v>
      </c>
      <c r="D198" s="109" t="n">
        <f aca="false">D202+D206+D214+D218+D222+D226+D230</f>
        <v>203</v>
      </c>
      <c r="E198" s="109" t="n">
        <f aca="false">E202+E206+E214+E218+E222+E226+E230</f>
        <v>70</v>
      </c>
      <c r="F198" s="109" t="n">
        <f aca="false">F202+F206+F214+F218+F222+F226+F230</f>
        <v>117</v>
      </c>
      <c r="G198" s="109" t="n">
        <f aca="false">G202+G206+G214+G218+G222+G226+G230</f>
        <v>80</v>
      </c>
      <c r="H198" s="109" t="n">
        <f aca="false">H202+H206+H214+H218+H222+H226+H230</f>
        <v>37</v>
      </c>
      <c r="I198" s="109" t="n">
        <f aca="false">I202+I206+I214+I218+I222+I226+I230</f>
        <v>714</v>
      </c>
      <c r="J198" s="109" t="n">
        <f aca="false">J202+J206+J214+J218+J222+J226+J230</f>
        <v>454</v>
      </c>
      <c r="K198" s="109" t="n">
        <f aca="false">K202+K206+K214+K218+K222+K226+K230</f>
        <v>74</v>
      </c>
      <c r="L198" s="109" t="n">
        <f aca="false">L202+L206+L214+L218+L222+L226+L230</f>
        <v>180</v>
      </c>
      <c r="M198" s="109"/>
      <c r="N198" s="109"/>
      <c r="O198" s="109"/>
      <c r="P198" s="109"/>
      <c r="Q198" s="109"/>
      <c r="R198" s="137"/>
      <c r="S198" s="109" t="n">
        <f aca="false">S202+S206+S214+S218+S222+S226+S230</f>
        <v>2016</v>
      </c>
    </row>
    <row r="199" customFormat="false" ht="12.75" hidden="false" customHeight="false" outlineLevel="0" collapsed="false">
      <c r="A199" s="136"/>
      <c r="B199" s="112" t="s">
        <v>53</v>
      </c>
      <c r="C199" s="109" t="n">
        <f aca="false">C197-C198</f>
        <v>43</v>
      </c>
      <c r="D199" s="109" t="n">
        <f aca="false">D197-D198</f>
        <v>-34</v>
      </c>
      <c r="E199" s="109" t="n">
        <f aca="false">E197-E198</f>
        <v>13</v>
      </c>
      <c r="F199" s="109" t="n">
        <f aca="false">F197-F198</f>
        <v>-31</v>
      </c>
      <c r="G199" s="109" t="n">
        <f aca="false">G197-G198</f>
        <v>-18</v>
      </c>
      <c r="H199" s="109" t="n">
        <f aca="false">H197-H198</f>
        <v>-1</v>
      </c>
      <c r="I199" s="109" t="n">
        <f aca="false">I197-I198</f>
        <v>-16</v>
      </c>
      <c r="J199" s="109" t="n">
        <f aca="false">J197-J198</f>
        <v>-74</v>
      </c>
      <c r="K199" s="109" t="n">
        <f aca="false">K197-K198</f>
        <v>35</v>
      </c>
      <c r="L199" s="109" t="n">
        <f aca="false">L197-L198</f>
        <v>-77</v>
      </c>
      <c r="M199" s="109"/>
      <c r="N199" s="109"/>
      <c r="O199" s="109"/>
      <c r="P199" s="109"/>
      <c r="Q199" s="109"/>
      <c r="R199" s="126"/>
      <c r="S199" s="109" t="n">
        <f aca="false">S197-S198</f>
        <v>-160</v>
      </c>
    </row>
    <row r="200" customFormat="false" ht="13.5" hidden="false" customHeight="false" outlineLevel="0" collapsed="false">
      <c r="A200" s="139"/>
      <c r="B200" s="114" t="s">
        <v>9</v>
      </c>
      <c r="C200" s="117" t="n">
        <f aca="false">C199/C198</f>
        <v>0.494252873563218</v>
      </c>
      <c r="D200" s="117" t="n">
        <f aca="false">D199/D198</f>
        <v>-0.167487684729064</v>
      </c>
      <c r="E200" s="117" t="n">
        <f aca="false">E199/E198</f>
        <v>0.185714285714286</v>
      </c>
      <c r="F200" s="117" t="n">
        <f aca="false">F199/F198</f>
        <v>-0.264957264957265</v>
      </c>
      <c r="G200" s="117" t="n">
        <f aca="false">G199/G198</f>
        <v>-0.225</v>
      </c>
      <c r="H200" s="117" t="n">
        <f aca="false">H199/H198</f>
        <v>-0.027027027027027</v>
      </c>
      <c r="I200" s="117" t="n">
        <f aca="false">I199/I198</f>
        <v>-0.0224089635854342</v>
      </c>
      <c r="J200" s="117" t="n">
        <f aca="false">J199/J198</f>
        <v>-0.162995594713656</v>
      </c>
      <c r="K200" s="117" t="n">
        <f aca="false">K199/K198</f>
        <v>0.472972972972973</v>
      </c>
      <c r="L200" s="117" t="n">
        <f aca="false">L199/L198</f>
        <v>-0.427777777777778</v>
      </c>
      <c r="M200" s="117"/>
      <c r="N200" s="117"/>
      <c r="O200" s="117"/>
      <c r="P200" s="117"/>
      <c r="Q200" s="117"/>
      <c r="R200" s="140"/>
      <c r="S200" s="117" t="n">
        <f aca="false">S199/S198</f>
        <v>-0.0793650793650794</v>
      </c>
    </row>
    <row r="201" customFormat="false" ht="12.75" hidden="false" customHeight="false" outlineLevel="0" collapsed="false">
      <c r="A201" s="136" t="s">
        <v>2</v>
      </c>
      <c r="B201" s="107" t="n">
        <v>2016</v>
      </c>
      <c r="C201" s="109" t="n">
        <v>0</v>
      </c>
      <c r="D201" s="126" t="n">
        <v>5</v>
      </c>
      <c r="E201" s="109" t="n">
        <v>1</v>
      </c>
      <c r="F201" s="126" t="n">
        <v>0</v>
      </c>
      <c r="G201" s="109" t="n">
        <v>0</v>
      </c>
      <c r="H201" s="126" t="n">
        <v>0</v>
      </c>
      <c r="I201" s="109" t="n">
        <v>8</v>
      </c>
      <c r="J201" s="126" t="n">
        <v>3</v>
      </c>
      <c r="K201" s="109" t="n">
        <v>0</v>
      </c>
      <c r="L201" s="126" t="n">
        <v>3</v>
      </c>
      <c r="M201" s="109"/>
      <c r="N201" s="109"/>
      <c r="O201" s="109"/>
      <c r="P201" s="109"/>
      <c r="Q201" s="109"/>
      <c r="R201" s="126"/>
      <c r="S201" s="109" t="n">
        <f aca="false">C201+D201+E201+F201+G201+H201+I201+J201+K201+L201+M201+N201+O201+P201+Q201+R201</f>
        <v>20</v>
      </c>
    </row>
    <row r="202" customFormat="false" ht="12.75" hidden="false" customHeight="false" outlineLevel="0" collapsed="false">
      <c r="A202" s="175" t="s">
        <v>54</v>
      </c>
      <c r="B202" s="107" t="n">
        <v>2015</v>
      </c>
      <c r="C202" s="109" t="n">
        <v>2</v>
      </c>
      <c r="D202" s="126" t="n">
        <v>5</v>
      </c>
      <c r="E202" s="109" t="n">
        <v>0</v>
      </c>
      <c r="F202" s="126" t="n">
        <v>0</v>
      </c>
      <c r="G202" s="109" t="n">
        <v>0</v>
      </c>
      <c r="H202" s="126" t="n">
        <v>0</v>
      </c>
      <c r="I202" s="109" t="n">
        <v>6</v>
      </c>
      <c r="J202" s="126" t="n">
        <v>0</v>
      </c>
      <c r="K202" s="109" t="n">
        <v>0</v>
      </c>
      <c r="L202" s="126" t="n">
        <v>1</v>
      </c>
      <c r="M202" s="109"/>
      <c r="N202" s="109"/>
      <c r="O202" s="109"/>
      <c r="P202" s="109"/>
      <c r="Q202" s="109"/>
      <c r="R202" s="126"/>
      <c r="S202" s="109" t="n">
        <f aca="false">C202+D202+E202+F202+G202+H202+I202+J202+K202+L202</f>
        <v>14</v>
      </c>
    </row>
    <row r="203" customFormat="false" ht="12.75" hidden="false" customHeight="false" outlineLevel="0" collapsed="false">
      <c r="A203" s="175" t="s">
        <v>55</v>
      </c>
      <c r="B203" s="112" t="s">
        <v>53</v>
      </c>
      <c r="C203" s="109" t="n">
        <f aca="false">C201-C202</f>
        <v>-2</v>
      </c>
      <c r="D203" s="109" t="n">
        <f aca="false">D201-D202</f>
        <v>0</v>
      </c>
      <c r="E203" s="126" t="n">
        <f aca="false">E201-E202</f>
        <v>1</v>
      </c>
      <c r="F203" s="109" t="n">
        <f aca="false">F201-F202</f>
        <v>0</v>
      </c>
      <c r="G203" s="109" t="n">
        <f aca="false">G201-G202</f>
        <v>0</v>
      </c>
      <c r="H203" s="109" t="n">
        <f aca="false">H201-H202</f>
        <v>0</v>
      </c>
      <c r="I203" s="109" t="n">
        <f aca="false">I201-I202</f>
        <v>2</v>
      </c>
      <c r="J203" s="126" t="n">
        <f aca="false">J201-J202</f>
        <v>3</v>
      </c>
      <c r="K203" s="109" t="n">
        <f aca="false">K201-K202</f>
        <v>0</v>
      </c>
      <c r="L203" s="109" t="n">
        <f aca="false">L201-L202</f>
        <v>2</v>
      </c>
      <c r="M203" s="109"/>
      <c r="N203" s="109"/>
      <c r="O203" s="109"/>
      <c r="P203" s="109"/>
      <c r="Q203" s="109"/>
      <c r="R203" s="126"/>
      <c r="S203" s="109" t="n">
        <f aca="false">S201-S202</f>
        <v>6</v>
      </c>
    </row>
    <row r="204" customFormat="false" ht="13.5" hidden="false" customHeight="false" outlineLevel="0" collapsed="false">
      <c r="A204" s="142"/>
      <c r="B204" s="114" t="s">
        <v>9</v>
      </c>
      <c r="C204" s="117" t="n">
        <f aca="false">C203/C202</f>
        <v>-1</v>
      </c>
      <c r="D204" s="117" t="n">
        <f aca="false">D203/D202</f>
        <v>0</v>
      </c>
      <c r="E204" s="117" t="n">
        <v>0</v>
      </c>
      <c r="F204" s="117" t="n">
        <v>0</v>
      </c>
      <c r="G204" s="117" t="n">
        <v>0</v>
      </c>
      <c r="H204" s="117" t="n">
        <v>0</v>
      </c>
      <c r="I204" s="117" t="n">
        <f aca="false">I203/I202</f>
        <v>0.333333333333333</v>
      </c>
      <c r="J204" s="117" t="n">
        <v>0</v>
      </c>
      <c r="K204" s="117" t="n">
        <v>0</v>
      </c>
      <c r="L204" s="117" t="n">
        <f aca="false">L203/L202</f>
        <v>2</v>
      </c>
      <c r="M204" s="117"/>
      <c r="N204" s="117"/>
      <c r="O204" s="117"/>
      <c r="P204" s="117"/>
      <c r="Q204" s="117"/>
      <c r="R204" s="140"/>
      <c r="S204" s="117" t="n">
        <f aca="false">S203/S202</f>
        <v>0.428571428571429</v>
      </c>
    </row>
    <row r="205" customFormat="false" ht="12.75" hidden="false" customHeight="false" outlineLevel="0" collapsed="false">
      <c r="A205" s="144"/>
      <c r="B205" s="107" t="n">
        <v>2016</v>
      </c>
      <c r="C205" s="109" t="n">
        <v>0</v>
      </c>
      <c r="D205" s="126" t="n">
        <v>0</v>
      </c>
      <c r="E205" s="109" t="n">
        <v>1</v>
      </c>
      <c r="F205" s="126" t="n">
        <v>0</v>
      </c>
      <c r="G205" s="109" t="n">
        <v>0</v>
      </c>
      <c r="H205" s="126" t="n">
        <v>0</v>
      </c>
      <c r="I205" s="109" t="n">
        <v>2</v>
      </c>
      <c r="J205" s="126" t="n">
        <v>1</v>
      </c>
      <c r="K205" s="109" t="n">
        <v>2</v>
      </c>
      <c r="L205" s="126" t="n">
        <v>1</v>
      </c>
      <c r="M205" s="109"/>
      <c r="N205" s="109"/>
      <c r="O205" s="109"/>
      <c r="P205" s="109"/>
      <c r="Q205" s="109"/>
      <c r="R205" s="126"/>
      <c r="S205" s="109" t="n">
        <f aca="false">C205+D205+E205+F205+G205+H205+I205+J205+K205+L205+M205+N205+O205+P205+Q205+R205</f>
        <v>7</v>
      </c>
    </row>
    <row r="206" customFormat="false" ht="12.75" hidden="false" customHeight="false" outlineLevel="0" collapsed="false">
      <c r="A206" s="175" t="s">
        <v>56</v>
      </c>
      <c r="B206" s="107" t="n">
        <v>2015</v>
      </c>
      <c r="C206" s="109" t="n">
        <v>1</v>
      </c>
      <c r="D206" s="126" t="n">
        <v>3</v>
      </c>
      <c r="E206" s="109" t="n">
        <v>0</v>
      </c>
      <c r="F206" s="126" t="n">
        <v>0</v>
      </c>
      <c r="G206" s="109" t="n">
        <v>0</v>
      </c>
      <c r="H206" s="126" t="n">
        <v>1</v>
      </c>
      <c r="I206" s="109" t="n">
        <v>4</v>
      </c>
      <c r="J206" s="126" t="n">
        <v>1</v>
      </c>
      <c r="K206" s="109" t="n">
        <v>0</v>
      </c>
      <c r="L206" s="126" t="n">
        <v>1</v>
      </c>
      <c r="M206" s="109"/>
      <c r="N206" s="109"/>
      <c r="O206" s="109"/>
      <c r="P206" s="109"/>
      <c r="Q206" s="109"/>
      <c r="R206" s="126"/>
      <c r="S206" s="109" t="n">
        <f aca="false">C206+D206+E206+F206+G206+H206+I206+J206+K206+L206</f>
        <v>11</v>
      </c>
    </row>
    <row r="207" customFormat="false" ht="12.75" hidden="false" customHeight="false" outlineLevel="0" collapsed="false">
      <c r="A207" s="175" t="s">
        <v>57</v>
      </c>
      <c r="B207" s="112" t="s">
        <v>53</v>
      </c>
      <c r="C207" s="109" t="n">
        <f aca="false">C205-C206</f>
        <v>-1</v>
      </c>
      <c r="D207" s="109" t="n">
        <f aca="false">D205-D206</f>
        <v>-3</v>
      </c>
      <c r="E207" s="126" t="n">
        <f aca="false">E205-E206</f>
        <v>1</v>
      </c>
      <c r="F207" s="109" t="n">
        <f aca="false">F205-F206</f>
        <v>0</v>
      </c>
      <c r="G207" s="109" t="n">
        <f aca="false">G205-G206</f>
        <v>0</v>
      </c>
      <c r="H207" s="109" t="n">
        <f aca="false">H205-H206</f>
        <v>-1</v>
      </c>
      <c r="I207" s="109" t="n">
        <f aca="false">I205-I206</f>
        <v>-2</v>
      </c>
      <c r="J207" s="126" t="n">
        <f aca="false">J205-J206</f>
        <v>0</v>
      </c>
      <c r="K207" s="109" t="n">
        <f aca="false">K205-K206</f>
        <v>2</v>
      </c>
      <c r="L207" s="109" t="n">
        <f aca="false">L205-L206</f>
        <v>0</v>
      </c>
      <c r="M207" s="109"/>
      <c r="N207" s="109"/>
      <c r="O207" s="109"/>
      <c r="P207" s="109"/>
      <c r="Q207" s="109"/>
      <c r="R207" s="126"/>
      <c r="S207" s="109" t="n">
        <f aca="false">S205-S206</f>
        <v>-4</v>
      </c>
    </row>
    <row r="208" customFormat="false" ht="13.5" hidden="false" customHeight="false" outlineLevel="0" collapsed="false">
      <c r="A208" s="142"/>
      <c r="B208" s="114" t="s">
        <v>9</v>
      </c>
      <c r="C208" s="117" t="n">
        <f aca="false">C207/C206</f>
        <v>-1</v>
      </c>
      <c r="D208" s="117" t="n">
        <f aca="false">D207/D206</f>
        <v>-1</v>
      </c>
      <c r="E208" s="117" t="n">
        <v>0</v>
      </c>
      <c r="F208" s="117" t="n">
        <v>0</v>
      </c>
      <c r="G208" s="117" t="n">
        <v>0</v>
      </c>
      <c r="H208" s="117" t="n">
        <f aca="false">H207/H206</f>
        <v>-1</v>
      </c>
      <c r="I208" s="117" t="n">
        <f aca="false">I207/I206</f>
        <v>-0.5</v>
      </c>
      <c r="J208" s="117" t="n">
        <f aca="false">J207/J206</f>
        <v>0</v>
      </c>
      <c r="K208" s="117" t="n">
        <v>0</v>
      </c>
      <c r="L208" s="117" t="n">
        <v>0</v>
      </c>
      <c r="M208" s="117"/>
      <c r="N208" s="117"/>
      <c r="O208" s="117"/>
      <c r="P208" s="117"/>
      <c r="Q208" s="117"/>
      <c r="R208" s="140"/>
      <c r="S208" s="117" t="n">
        <f aca="false">S207/S206</f>
        <v>-0.363636363636364</v>
      </c>
    </row>
    <row r="209" customFormat="false" ht="12.75" hidden="false" customHeight="false" outlineLevel="0" collapsed="false">
      <c r="A209" s="144"/>
      <c r="B209" s="107" t="n">
        <v>2016</v>
      </c>
      <c r="C209" s="109" t="n">
        <v>0</v>
      </c>
      <c r="D209" s="126" t="n">
        <v>0</v>
      </c>
      <c r="E209" s="109" t="n">
        <v>0</v>
      </c>
      <c r="F209" s="126" t="n">
        <v>0</v>
      </c>
      <c r="G209" s="109" t="n">
        <v>0</v>
      </c>
      <c r="H209" s="126" t="n">
        <v>0</v>
      </c>
      <c r="I209" s="109" t="n">
        <v>0</v>
      </c>
      <c r="J209" s="126" t="n">
        <v>0</v>
      </c>
      <c r="K209" s="109" t="n">
        <v>0</v>
      </c>
      <c r="L209" s="126" t="n">
        <v>0</v>
      </c>
      <c r="M209" s="109"/>
      <c r="N209" s="109"/>
      <c r="O209" s="109"/>
      <c r="P209" s="109"/>
      <c r="Q209" s="109"/>
      <c r="R209" s="126"/>
      <c r="S209" s="109" t="n">
        <f aca="false">C209+D209+E209+F209+G209+H209+I209+J209+K209+L209+M209+N209+O209+P209+Q209+R209</f>
        <v>0</v>
      </c>
    </row>
    <row r="210" customFormat="false" ht="12.75" hidden="false" customHeight="false" outlineLevel="0" collapsed="false">
      <c r="A210" s="138" t="s">
        <v>58</v>
      </c>
      <c r="B210" s="107" t="n">
        <v>2015</v>
      </c>
      <c r="C210" s="109" t="n">
        <v>0</v>
      </c>
      <c r="D210" s="126" t="n">
        <v>0</v>
      </c>
      <c r="E210" s="109" t="n">
        <v>0</v>
      </c>
      <c r="F210" s="126" t="n">
        <v>0</v>
      </c>
      <c r="G210" s="109" t="n">
        <v>0</v>
      </c>
      <c r="H210" s="126" t="n">
        <v>0</v>
      </c>
      <c r="I210" s="109" t="n">
        <v>0</v>
      </c>
      <c r="J210" s="126" t="n">
        <v>0</v>
      </c>
      <c r="K210" s="109" t="n">
        <v>0</v>
      </c>
      <c r="L210" s="126" t="n">
        <v>0</v>
      </c>
      <c r="M210" s="109"/>
      <c r="N210" s="109"/>
      <c r="O210" s="109"/>
      <c r="P210" s="109"/>
      <c r="Q210" s="109"/>
      <c r="R210" s="126"/>
      <c r="S210" s="109" t="n">
        <f aca="false">C210+D210+E210+F210+G210+H210+I210+J210+K210+L210</f>
        <v>0</v>
      </c>
    </row>
    <row r="211" customFormat="false" ht="12.75" hidden="false" customHeight="false" outlineLevel="0" collapsed="false">
      <c r="A211" s="138" t="s">
        <v>59</v>
      </c>
      <c r="B211" s="112" t="s">
        <v>53</v>
      </c>
      <c r="C211" s="109" t="n">
        <f aca="false">C209-C210</f>
        <v>0</v>
      </c>
      <c r="D211" s="109" t="n">
        <f aca="false">D209-D210</f>
        <v>0</v>
      </c>
      <c r="E211" s="126" t="n">
        <f aca="false">E209-E210</f>
        <v>0</v>
      </c>
      <c r="F211" s="109" t="n">
        <f aca="false">F209-F210</f>
        <v>0</v>
      </c>
      <c r="G211" s="109" t="n">
        <f aca="false">G209-G210</f>
        <v>0</v>
      </c>
      <c r="H211" s="109" t="n">
        <f aca="false">H209-H210</f>
        <v>0</v>
      </c>
      <c r="I211" s="109" t="n">
        <f aca="false">I209-I210</f>
        <v>0</v>
      </c>
      <c r="J211" s="126" t="n">
        <f aca="false">J209-J210</f>
        <v>0</v>
      </c>
      <c r="K211" s="109" t="n">
        <f aca="false">K209-K210</f>
        <v>0</v>
      </c>
      <c r="L211" s="109" t="n">
        <f aca="false">L209-L210</f>
        <v>0</v>
      </c>
      <c r="M211" s="109"/>
      <c r="N211" s="109"/>
      <c r="O211" s="109"/>
      <c r="P211" s="109"/>
      <c r="Q211" s="109"/>
      <c r="R211" s="126"/>
      <c r="S211" s="109" t="n">
        <f aca="false">S209-S210</f>
        <v>0</v>
      </c>
    </row>
    <row r="212" customFormat="false" ht="13.5" hidden="false" customHeight="false" outlineLevel="0" collapsed="false">
      <c r="A212" s="142"/>
      <c r="B212" s="114" t="s">
        <v>9</v>
      </c>
      <c r="C212" s="117" t="n">
        <v>0</v>
      </c>
      <c r="D212" s="117" t="n">
        <v>0</v>
      </c>
      <c r="E212" s="117" t="n">
        <v>0</v>
      </c>
      <c r="F212" s="117" t="n">
        <v>0</v>
      </c>
      <c r="G212" s="117" t="n">
        <v>0</v>
      </c>
      <c r="H212" s="117" t="n">
        <v>0</v>
      </c>
      <c r="I212" s="117" t="n">
        <v>0</v>
      </c>
      <c r="J212" s="117" t="n">
        <v>0</v>
      </c>
      <c r="K212" s="117" t="n">
        <v>0</v>
      </c>
      <c r="L212" s="117" t="n">
        <v>0</v>
      </c>
      <c r="M212" s="117"/>
      <c r="N212" s="117"/>
      <c r="O212" s="117"/>
      <c r="P212" s="117"/>
      <c r="Q212" s="117"/>
      <c r="R212" s="140"/>
      <c r="S212" s="117" t="n">
        <v>0</v>
      </c>
    </row>
    <row r="213" customFormat="false" ht="12.75" hidden="false" customHeight="false" outlineLevel="0" collapsed="false">
      <c r="A213" s="144"/>
      <c r="B213" s="107" t="n">
        <v>2016</v>
      </c>
      <c r="C213" s="109" t="n">
        <v>12</v>
      </c>
      <c r="D213" s="126" t="n">
        <v>11</v>
      </c>
      <c r="E213" s="109" t="n">
        <v>4</v>
      </c>
      <c r="F213" s="126" t="n">
        <v>3</v>
      </c>
      <c r="G213" s="109" t="n">
        <v>2</v>
      </c>
      <c r="H213" s="126" t="n">
        <v>0</v>
      </c>
      <c r="I213" s="109" t="n">
        <v>45</v>
      </c>
      <c r="J213" s="126" t="n">
        <v>11</v>
      </c>
      <c r="K213" s="109" t="n">
        <v>4</v>
      </c>
      <c r="L213" s="126" t="n">
        <v>11</v>
      </c>
      <c r="M213" s="109"/>
      <c r="N213" s="109"/>
      <c r="O213" s="109"/>
      <c r="P213" s="109"/>
      <c r="Q213" s="109"/>
      <c r="R213" s="126"/>
      <c r="S213" s="109" t="n">
        <f aca="false">C213+D213+E213+F213+G213+H213+I213+J213+K213+L213+M213+N213+O213+P213+Q213+R213</f>
        <v>103</v>
      </c>
    </row>
    <row r="214" customFormat="false" ht="12.75" hidden="false" customHeight="false" outlineLevel="0" collapsed="false">
      <c r="A214" s="175" t="s">
        <v>60</v>
      </c>
      <c r="B214" s="107" t="n">
        <v>2015</v>
      </c>
      <c r="C214" s="109" t="n">
        <v>7</v>
      </c>
      <c r="D214" s="126" t="n">
        <v>14</v>
      </c>
      <c r="E214" s="109" t="n">
        <v>0</v>
      </c>
      <c r="F214" s="126" t="n">
        <v>4</v>
      </c>
      <c r="G214" s="109" t="n">
        <v>0</v>
      </c>
      <c r="H214" s="126" t="n">
        <v>0</v>
      </c>
      <c r="I214" s="109" t="n">
        <v>51</v>
      </c>
      <c r="J214" s="126" t="n">
        <v>20</v>
      </c>
      <c r="K214" s="109" t="n">
        <v>0</v>
      </c>
      <c r="L214" s="126" t="n">
        <v>3</v>
      </c>
      <c r="M214" s="109"/>
      <c r="N214" s="109"/>
      <c r="O214" s="109"/>
      <c r="P214" s="109"/>
      <c r="Q214" s="109"/>
      <c r="R214" s="126"/>
      <c r="S214" s="109" t="n">
        <f aca="false">C214+D214+E214+F214+G214+H214+I214+J214+K214+L214</f>
        <v>99</v>
      </c>
    </row>
    <row r="215" customFormat="false" ht="12.75" hidden="false" customHeight="false" outlineLevel="0" collapsed="false">
      <c r="A215" s="144"/>
      <c r="B215" s="112" t="s">
        <v>53</v>
      </c>
      <c r="C215" s="109" t="n">
        <f aca="false">C213-C214</f>
        <v>5</v>
      </c>
      <c r="D215" s="109" t="n">
        <f aca="false">D213-D214</f>
        <v>-3</v>
      </c>
      <c r="E215" s="126" t="n">
        <f aca="false">E213-E214</f>
        <v>4</v>
      </c>
      <c r="F215" s="109" t="n">
        <f aca="false">F213-F214</f>
        <v>-1</v>
      </c>
      <c r="G215" s="109" t="n">
        <f aca="false">G213-G214</f>
        <v>2</v>
      </c>
      <c r="H215" s="109" t="n">
        <f aca="false">H213-H214</f>
        <v>0</v>
      </c>
      <c r="I215" s="109" t="n">
        <f aca="false">I213-I214</f>
        <v>-6</v>
      </c>
      <c r="J215" s="126" t="n">
        <f aca="false">J213-J214</f>
        <v>-9</v>
      </c>
      <c r="K215" s="109" t="n">
        <f aca="false">K213-K214</f>
        <v>4</v>
      </c>
      <c r="L215" s="109" t="n">
        <f aca="false">L213-L214</f>
        <v>8</v>
      </c>
      <c r="M215" s="109"/>
      <c r="N215" s="109"/>
      <c r="O215" s="109"/>
      <c r="P215" s="109"/>
      <c r="Q215" s="109"/>
      <c r="R215" s="126"/>
      <c r="S215" s="109" t="n">
        <f aca="false">S213-S214</f>
        <v>4</v>
      </c>
    </row>
    <row r="216" customFormat="false" ht="13.5" hidden="false" customHeight="false" outlineLevel="0" collapsed="false">
      <c r="A216" s="142"/>
      <c r="B216" s="114" t="s">
        <v>9</v>
      </c>
      <c r="C216" s="117" t="n">
        <f aca="false">C215/C214</f>
        <v>0.714285714285714</v>
      </c>
      <c r="D216" s="117" t="n">
        <f aca="false">D215/D214</f>
        <v>-0.214285714285714</v>
      </c>
      <c r="E216" s="117" t="n">
        <v>0</v>
      </c>
      <c r="F216" s="117" t="n">
        <f aca="false">F215/F214</f>
        <v>-0.25</v>
      </c>
      <c r="G216" s="117" t="n">
        <v>0</v>
      </c>
      <c r="H216" s="117" t="n">
        <v>0</v>
      </c>
      <c r="I216" s="117" t="n">
        <f aca="false">I215/I214</f>
        <v>-0.117647058823529</v>
      </c>
      <c r="J216" s="117" t="n">
        <f aca="false">J215/J214</f>
        <v>-0.45</v>
      </c>
      <c r="K216" s="117" t="n">
        <v>0</v>
      </c>
      <c r="L216" s="117" t="n">
        <f aca="false">L215/L214</f>
        <v>2.66666666666667</v>
      </c>
      <c r="M216" s="117"/>
      <c r="N216" s="117"/>
      <c r="O216" s="117"/>
      <c r="P216" s="117"/>
      <c r="Q216" s="117"/>
      <c r="R216" s="140"/>
      <c r="S216" s="117" t="n">
        <f aca="false">S215/S214</f>
        <v>0.0404040404040404</v>
      </c>
    </row>
    <row r="217" customFormat="false" ht="12.75" hidden="false" customHeight="false" outlineLevel="0" collapsed="false">
      <c r="A217" s="144"/>
      <c r="B217" s="107" t="n">
        <v>2016</v>
      </c>
      <c r="C217" s="109" t="n">
        <v>14</v>
      </c>
      <c r="D217" s="126" t="n">
        <v>14</v>
      </c>
      <c r="E217" s="109" t="n">
        <v>10</v>
      </c>
      <c r="F217" s="126" t="n">
        <v>14</v>
      </c>
      <c r="G217" s="109" t="n">
        <v>2</v>
      </c>
      <c r="H217" s="126" t="n">
        <v>5</v>
      </c>
      <c r="I217" s="109" t="n">
        <v>92</v>
      </c>
      <c r="J217" s="126" t="n">
        <v>43</v>
      </c>
      <c r="K217" s="109" t="n">
        <v>20</v>
      </c>
      <c r="L217" s="126" t="n">
        <v>14</v>
      </c>
      <c r="M217" s="109"/>
      <c r="N217" s="109"/>
      <c r="O217" s="109"/>
      <c r="P217" s="109"/>
      <c r="Q217" s="109"/>
      <c r="R217" s="126"/>
      <c r="S217" s="109" t="n">
        <f aca="false">C217+D217+E217+F217+G217+H217+I217+J217+K217+L217+M217+N217+O217+P217+Q217+R217</f>
        <v>228</v>
      </c>
      <c r="T217" s="183"/>
    </row>
    <row r="218" customFormat="false" ht="12.75" hidden="false" customHeight="false" outlineLevel="0" collapsed="false">
      <c r="A218" s="175" t="s">
        <v>61</v>
      </c>
      <c r="B218" s="107" t="n">
        <v>2015</v>
      </c>
      <c r="C218" s="109" t="n">
        <v>12</v>
      </c>
      <c r="D218" s="126" t="n">
        <v>15</v>
      </c>
      <c r="E218" s="109" t="n">
        <v>3</v>
      </c>
      <c r="F218" s="126" t="n">
        <v>12</v>
      </c>
      <c r="G218" s="109" t="n">
        <v>7</v>
      </c>
      <c r="H218" s="126" t="n">
        <v>3</v>
      </c>
      <c r="I218" s="109" t="n">
        <v>80</v>
      </c>
      <c r="J218" s="126" t="n">
        <v>27</v>
      </c>
      <c r="K218" s="109" t="n">
        <v>20</v>
      </c>
      <c r="L218" s="126" t="n">
        <v>21</v>
      </c>
      <c r="M218" s="109"/>
      <c r="N218" s="109"/>
      <c r="O218" s="109"/>
      <c r="P218" s="109"/>
      <c r="Q218" s="109"/>
      <c r="R218" s="126"/>
      <c r="S218" s="109" t="n">
        <f aca="false">C218+D218+E218+F218+G218+H218+I218+J218+K218+L218</f>
        <v>200</v>
      </c>
    </row>
    <row r="219" customFormat="false" ht="12.75" hidden="false" customHeight="false" outlineLevel="0" collapsed="false">
      <c r="A219" s="175" t="s">
        <v>62</v>
      </c>
      <c r="B219" s="112" t="s">
        <v>53</v>
      </c>
      <c r="C219" s="109" t="n">
        <f aca="false">C217-C218</f>
        <v>2</v>
      </c>
      <c r="D219" s="109" t="n">
        <f aca="false">D217-D218</f>
        <v>-1</v>
      </c>
      <c r="E219" s="126" t="n">
        <f aca="false">E217-E218</f>
        <v>7</v>
      </c>
      <c r="F219" s="109" t="n">
        <f aca="false">F217-F218</f>
        <v>2</v>
      </c>
      <c r="G219" s="109" t="n">
        <f aca="false">G217-G218</f>
        <v>-5</v>
      </c>
      <c r="H219" s="109" t="n">
        <f aca="false">H217-H218</f>
        <v>2</v>
      </c>
      <c r="I219" s="109" t="n">
        <f aca="false">I217-I218</f>
        <v>12</v>
      </c>
      <c r="J219" s="126" t="n">
        <f aca="false">J217-J218</f>
        <v>16</v>
      </c>
      <c r="K219" s="109" t="n">
        <f aca="false">K217-K218</f>
        <v>0</v>
      </c>
      <c r="L219" s="109" t="n">
        <f aca="false">L217-L218</f>
        <v>-7</v>
      </c>
      <c r="M219" s="109"/>
      <c r="N219" s="109"/>
      <c r="O219" s="109"/>
      <c r="P219" s="109"/>
      <c r="Q219" s="109"/>
      <c r="R219" s="126"/>
      <c r="S219" s="109" t="n">
        <f aca="false">S217-S218</f>
        <v>28</v>
      </c>
    </row>
    <row r="220" customFormat="false" ht="13.5" hidden="false" customHeight="false" outlineLevel="0" collapsed="false">
      <c r="A220" s="142"/>
      <c r="B220" s="114" t="s">
        <v>9</v>
      </c>
      <c r="C220" s="117" t="n">
        <f aca="false">C219/C218</f>
        <v>0.166666666666667</v>
      </c>
      <c r="D220" s="117" t="n">
        <f aca="false">D219/D218</f>
        <v>-0.0666666666666667</v>
      </c>
      <c r="E220" s="117" t="n">
        <f aca="false">E219/E218</f>
        <v>2.33333333333333</v>
      </c>
      <c r="F220" s="117" t="n">
        <f aca="false">F219/F218</f>
        <v>0.166666666666667</v>
      </c>
      <c r="G220" s="117" t="n">
        <f aca="false">G219/G218</f>
        <v>-0.714285714285714</v>
      </c>
      <c r="H220" s="117" t="n">
        <f aca="false">H219/H218</f>
        <v>0.666666666666667</v>
      </c>
      <c r="I220" s="117" t="n">
        <f aca="false">I219/I218</f>
        <v>0.15</v>
      </c>
      <c r="J220" s="117" t="n">
        <f aca="false">J219/J218</f>
        <v>0.592592592592593</v>
      </c>
      <c r="K220" s="117" t="n">
        <f aca="false">K219/K218</f>
        <v>0</v>
      </c>
      <c r="L220" s="117" t="n">
        <f aca="false">L219/L218</f>
        <v>-0.333333333333333</v>
      </c>
      <c r="M220" s="117"/>
      <c r="N220" s="117"/>
      <c r="O220" s="117"/>
      <c r="P220" s="117"/>
      <c r="Q220" s="117"/>
      <c r="R220" s="140"/>
      <c r="S220" s="117" t="n">
        <f aca="false">S219/S218</f>
        <v>0.14</v>
      </c>
    </row>
    <row r="221" customFormat="false" ht="12.75" hidden="false" customHeight="false" outlineLevel="0" collapsed="false">
      <c r="A221" s="144"/>
      <c r="B221" s="107" t="n">
        <v>2016</v>
      </c>
      <c r="C221" s="109" t="n">
        <v>38</v>
      </c>
      <c r="D221" s="126" t="n">
        <v>38</v>
      </c>
      <c r="E221" s="109" t="n">
        <v>21</v>
      </c>
      <c r="F221" s="126" t="n">
        <v>32</v>
      </c>
      <c r="G221" s="109" t="n">
        <v>27</v>
      </c>
      <c r="H221" s="126" t="n">
        <v>9</v>
      </c>
      <c r="I221" s="109" t="n">
        <v>139</v>
      </c>
      <c r="J221" s="126" t="n">
        <v>71</v>
      </c>
      <c r="K221" s="109" t="n">
        <v>40</v>
      </c>
      <c r="L221" s="109" t="n">
        <v>26</v>
      </c>
      <c r="M221" s="109"/>
      <c r="N221" s="109"/>
      <c r="O221" s="109"/>
      <c r="P221" s="109"/>
      <c r="Q221" s="109"/>
      <c r="R221" s="126"/>
      <c r="S221" s="109" t="n">
        <f aca="false">C221+D221+E221+F221+G221+H221+I221+J221+K221+L221+M221+N221+O221+P221+Q221+R221</f>
        <v>441</v>
      </c>
    </row>
    <row r="222" customFormat="false" ht="12.75" hidden="false" customHeight="false" outlineLevel="0" collapsed="false">
      <c r="A222" s="175" t="s">
        <v>63</v>
      </c>
      <c r="B222" s="107" t="n">
        <v>2015</v>
      </c>
      <c r="C222" s="109" t="n">
        <v>32</v>
      </c>
      <c r="D222" s="126" t="n">
        <v>71</v>
      </c>
      <c r="E222" s="109" t="n">
        <v>31</v>
      </c>
      <c r="F222" s="126" t="n">
        <v>37</v>
      </c>
      <c r="G222" s="109" t="n">
        <v>33</v>
      </c>
      <c r="H222" s="126" t="n">
        <v>18</v>
      </c>
      <c r="I222" s="109" t="n">
        <v>195</v>
      </c>
      <c r="J222" s="126" t="n">
        <v>80</v>
      </c>
      <c r="K222" s="109" t="n">
        <v>15</v>
      </c>
      <c r="L222" s="109" t="n">
        <v>64</v>
      </c>
      <c r="M222" s="109"/>
      <c r="N222" s="109"/>
      <c r="O222" s="109"/>
      <c r="P222" s="109"/>
      <c r="Q222" s="109"/>
      <c r="R222" s="126"/>
      <c r="S222" s="109" t="n">
        <f aca="false">C222+D222+E222+F222+G222+H222+I222+J222+K222+L222</f>
        <v>576</v>
      </c>
    </row>
    <row r="223" customFormat="false" ht="12.75" hidden="false" customHeight="false" outlineLevel="0" collapsed="false">
      <c r="A223" s="144"/>
      <c r="B223" s="112" t="s">
        <v>53</v>
      </c>
      <c r="C223" s="109" t="n">
        <f aca="false">C221-C222</f>
        <v>6</v>
      </c>
      <c r="D223" s="109" t="n">
        <f aca="false">D221-D222</f>
        <v>-33</v>
      </c>
      <c r="E223" s="126" t="n">
        <f aca="false">E221-E222</f>
        <v>-10</v>
      </c>
      <c r="F223" s="109" t="n">
        <f aca="false">F221-F222</f>
        <v>-5</v>
      </c>
      <c r="G223" s="109" t="n">
        <f aca="false">G221-G222</f>
        <v>-6</v>
      </c>
      <c r="H223" s="109" t="n">
        <f aca="false">H221-H222</f>
        <v>-9</v>
      </c>
      <c r="I223" s="109" t="n">
        <f aca="false">I221-I222</f>
        <v>-56</v>
      </c>
      <c r="J223" s="126" t="n">
        <f aca="false">J221-J222</f>
        <v>-9</v>
      </c>
      <c r="K223" s="109" t="n">
        <f aca="false">K221-K222</f>
        <v>25</v>
      </c>
      <c r="L223" s="109" t="n">
        <f aca="false">L221-L222</f>
        <v>-38</v>
      </c>
      <c r="M223" s="109"/>
      <c r="N223" s="109"/>
      <c r="O223" s="109"/>
      <c r="P223" s="109"/>
      <c r="Q223" s="109"/>
      <c r="R223" s="126"/>
      <c r="S223" s="109" t="n">
        <f aca="false">S221-S222</f>
        <v>-135</v>
      </c>
    </row>
    <row r="224" customFormat="false" ht="13.5" hidden="false" customHeight="false" outlineLevel="0" collapsed="false">
      <c r="A224" s="142"/>
      <c r="B224" s="114" t="s">
        <v>9</v>
      </c>
      <c r="C224" s="117" t="n">
        <f aca="false">C223/C222</f>
        <v>0.1875</v>
      </c>
      <c r="D224" s="117" t="n">
        <f aca="false">D223/D222</f>
        <v>-0.464788732394366</v>
      </c>
      <c r="E224" s="117" t="n">
        <f aca="false">E223/E222</f>
        <v>-0.32258064516129</v>
      </c>
      <c r="F224" s="117" t="n">
        <f aca="false">F223/F222</f>
        <v>-0.135135135135135</v>
      </c>
      <c r="G224" s="117" t="n">
        <f aca="false">G223/G222</f>
        <v>-0.181818181818182</v>
      </c>
      <c r="H224" s="117" t="n">
        <f aca="false">H223/H222</f>
        <v>-0.5</v>
      </c>
      <c r="I224" s="117" t="n">
        <f aca="false">I223/I222</f>
        <v>-0.287179487179487</v>
      </c>
      <c r="J224" s="117" t="n">
        <f aca="false">J223/J222</f>
        <v>-0.1125</v>
      </c>
      <c r="K224" s="117" t="n">
        <f aca="false">K223/K222</f>
        <v>1.66666666666667</v>
      </c>
      <c r="L224" s="117" t="n">
        <f aca="false">L223/L222</f>
        <v>-0.59375</v>
      </c>
      <c r="M224" s="117"/>
      <c r="N224" s="117"/>
      <c r="O224" s="117"/>
      <c r="P224" s="117"/>
      <c r="Q224" s="117"/>
      <c r="R224" s="140"/>
      <c r="S224" s="117" t="n">
        <f aca="false">S223/S222</f>
        <v>-0.234375</v>
      </c>
    </row>
    <row r="225" customFormat="false" ht="12.75" hidden="false" customHeight="false" outlineLevel="0" collapsed="false">
      <c r="A225" s="144"/>
      <c r="B225" s="107" t="n">
        <v>2016</v>
      </c>
      <c r="C225" s="109" t="n">
        <v>62</v>
      </c>
      <c r="D225" s="126" t="n">
        <v>96</v>
      </c>
      <c r="E225" s="109" t="n">
        <v>45</v>
      </c>
      <c r="F225" s="126" t="n">
        <v>30</v>
      </c>
      <c r="G225" s="109" t="n">
        <v>30</v>
      </c>
      <c r="H225" s="126" t="n">
        <v>22</v>
      </c>
      <c r="I225" s="109" t="n">
        <v>391</v>
      </c>
      <c r="J225" s="126" t="n">
        <v>247</v>
      </c>
      <c r="K225" s="109" t="n">
        <v>38</v>
      </c>
      <c r="L225" s="126" t="n">
        <v>43</v>
      </c>
      <c r="M225" s="109"/>
      <c r="N225" s="109"/>
      <c r="O225" s="109"/>
      <c r="P225" s="109"/>
      <c r="Q225" s="109"/>
      <c r="R225" s="126"/>
      <c r="S225" s="109" t="n">
        <f aca="false">C225+D225+E225+F225+G225+H225+I225+J225+K225+L225+M225+N225+O225+P225+Q225+R225</f>
        <v>1004</v>
      </c>
    </row>
    <row r="226" customFormat="false" ht="12.75" hidden="false" customHeight="false" outlineLevel="0" collapsed="false">
      <c r="A226" s="175" t="s">
        <v>64</v>
      </c>
      <c r="B226" s="107" t="n">
        <v>2015</v>
      </c>
      <c r="C226" s="109" t="n">
        <v>27</v>
      </c>
      <c r="D226" s="126" t="n">
        <v>83</v>
      </c>
      <c r="E226" s="109" t="n">
        <v>32</v>
      </c>
      <c r="F226" s="126" t="n">
        <v>57</v>
      </c>
      <c r="G226" s="109" t="n">
        <v>40</v>
      </c>
      <c r="H226" s="126" t="n">
        <v>15</v>
      </c>
      <c r="I226" s="109" t="n">
        <v>335</v>
      </c>
      <c r="J226" s="126" t="n">
        <v>305</v>
      </c>
      <c r="K226" s="109" t="n">
        <v>38</v>
      </c>
      <c r="L226" s="126" t="n">
        <v>83</v>
      </c>
      <c r="M226" s="109"/>
      <c r="N226" s="109"/>
      <c r="O226" s="109"/>
      <c r="P226" s="109"/>
      <c r="Q226" s="109"/>
      <c r="R226" s="126"/>
      <c r="S226" s="109" t="n">
        <f aca="false">C226+D226+E226+F226+G226+H226+I226+J226+K226+L226</f>
        <v>1015</v>
      </c>
    </row>
    <row r="227" customFormat="false" ht="12.75" hidden="false" customHeight="false" outlineLevel="0" collapsed="false">
      <c r="A227" s="175" t="s">
        <v>65</v>
      </c>
      <c r="B227" s="112" t="s">
        <v>53</v>
      </c>
      <c r="C227" s="109" t="n">
        <f aca="false">C225-C226</f>
        <v>35</v>
      </c>
      <c r="D227" s="109" t="n">
        <f aca="false">D225-D226</f>
        <v>13</v>
      </c>
      <c r="E227" s="126" t="n">
        <f aca="false">E225-E226</f>
        <v>13</v>
      </c>
      <c r="F227" s="109" t="n">
        <f aca="false">F225-F226</f>
        <v>-27</v>
      </c>
      <c r="G227" s="109" t="n">
        <f aca="false">G225-G226</f>
        <v>-10</v>
      </c>
      <c r="H227" s="109" t="n">
        <f aca="false">H225-H226</f>
        <v>7</v>
      </c>
      <c r="I227" s="109" t="n">
        <f aca="false">I225-I226</f>
        <v>56</v>
      </c>
      <c r="J227" s="126" t="n">
        <f aca="false">J225-J226</f>
        <v>-58</v>
      </c>
      <c r="K227" s="109" t="n">
        <f aca="false">K225-K226</f>
        <v>0</v>
      </c>
      <c r="L227" s="109" t="n">
        <f aca="false">L225-L226</f>
        <v>-40</v>
      </c>
      <c r="M227" s="109"/>
      <c r="N227" s="109"/>
      <c r="O227" s="109"/>
      <c r="P227" s="109"/>
      <c r="Q227" s="109"/>
      <c r="R227" s="126"/>
      <c r="S227" s="109" t="n">
        <f aca="false">S225-S226</f>
        <v>-11</v>
      </c>
    </row>
    <row r="228" customFormat="false" ht="13.5" hidden="false" customHeight="false" outlineLevel="0" collapsed="false">
      <c r="A228" s="142"/>
      <c r="B228" s="114" t="s">
        <v>9</v>
      </c>
      <c r="C228" s="117" t="n">
        <f aca="false">C227/C226</f>
        <v>1.2962962962963</v>
      </c>
      <c r="D228" s="117" t="n">
        <f aca="false">D227/D226</f>
        <v>0.156626506024096</v>
      </c>
      <c r="E228" s="117" t="n">
        <f aca="false">E227/E226</f>
        <v>0.40625</v>
      </c>
      <c r="F228" s="117" t="n">
        <f aca="false">F227/F226</f>
        <v>-0.473684210526316</v>
      </c>
      <c r="G228" s="117" t="n">
        <f aca="false">G227/G226</f>
        <v>-0.25</v>
      </c>
      <c r="H228" s="117" t="n">
        <f aca="false">H227/H226</f>
        <v>0.466666666666667</v>
      </c>
      <c r="I228" s="117" t="n">
        <f aca="false">I227/I226</f>
        <v>0.167164179104478</v>
      </c>
      <c r="J228" s="117" t="n">
        <f aca="false">J227/J226</f>
        <v>-0.19016393442623</v>
      </c>
      <c r="K228" s="117" t="n">
        <f aca="false">K227/K226</f>
        <v>0</v>
      </c>
      <c r="L228" s="117" t="n">
        <f aca="false">L227/L226</f>
        <v>-0.481927710843374</v>
      </c>
      <c r="M228" s="117"/>
      <c r="N228" s="117"/>
      <c r="O228" s="117"/>
      <c r="P228" s="117"/>
      <c r="Q228" s="117"/>
      <c r="R228" s="140"/>
      <c r="S228" s="117" t="n">
        <f aca="false">S227/S226</f>
        <v>-0.0108374384236453</v>
      </c>
    </row>
    <row r="229" customFormat="false" ht="12.75" hidden="false" customHeight="false" outlineLevel="0" collapsed="false">
      <c r="A229" s="144"/>
      <c r="B229" s="107" t="n">
        <v>2016</v>
      </c>
      <c r="C229" s="109" t="n">
        <v>4</v>
      </c>
      <c r="D229" s="126" t="n">
        <v>5</v>
      </c>
      <c r="E229" s="109" t="n">
        <v>1</v>
      </c>
      <c r="F229" s="126" t="n">
        <v>7</v>
      </c>
      <c r="G229" s="109" t="n">
        <v>1</v>
      </c>
      <c r="H229" s="126" t="n">
        <v>0</v>
      </c>
      <c r="I229" s="109" t="n">
        <v>21</v>
      </c>
      <c r="J229" s="126" t="n">
        <v>4</v>
      </c>
      <c r="K229" s="109" t="n">
        <v>5</v>
      </c>
      <c r="L229" s="126" t="n">
        <v>5</v>
      </c>
      <c r="M229" s="109"/>
      <c r="N229" s="109"/>
      <c r="O229" s="109"/>
      <c r="P229" s="109"/>
      <c r="Q229" s="109"/>
      <c r="R229" s="126"/>
      <c r="S229" s="109" t="n">
        <f aca="false">C229+D229+E229+F229+G229+H229+I229+J229+K229+L229+M229+N229+O229+P229+Q229+R229</f>
        <v>53</v>
      </c>
    </row>
    <row r="230" customFormat="false" ht="12.75" hidden="false" customHeight="false" outlineLevel="0" collapsed="false">
      <c r="A230" s="175" t="s">
        <v>66</v>
      </c>
      <c r="B230" s="107" t="n">
        <v>2015</v>
      </c>
      <c r="C230" s="109" t="n">
        <v>6</v>
      </c>
      <c r="D230" s="126" t="n">
        <v>12</v>
      </c>
      <c r="E230" s="109" t="n">
        <v>4</v>
      </c>
      <c r="F230" s="126" t="n">
        <v>7</v>
      </c>
      <c r="G230" s="109" t="n">
        <v>0</v>
      </c>
      <c r="H230" s="126" t="n">
        <v>0</v>
      </c>
      <c r="I230" s="109" t="n">
        <v>43</v>
      </c>
      <c r="J230" s="126" t="n">
        <v>21</v>
      </c>
      <c r="K230" s="109" t="n">
        <v>1</v>
      </c>
      <c r="L230" s="126" t="n">
        <v>7</v>
      </c>
      <c r="M230" s="109"/>
      <c r="N230" s="109"/>
      <c r="O230" s="109"/>
      <c r="P230" s="109"/>
      <c r="Q230" s="109"/>
      <c r="R230" s="126"/>
      <c r="S230" s="109" t="n">
        <f aca="false">C230+D230+E230+F230+G230+H230+I230+J230+K230+L230</f>
        <v>101</v>
      </c>
    </row>
    <row r="231" customFormat="false" ht="12.75" hidden="false" customHeight="false" outlineLevel="0" collapsed="false">
      <c r="A231" s="175" t="s">
        <v>67</v>
      </c>
      <c r="B231" s="112" t="s">
        <v>53</v>
      </c>
      <c r="C231" s="109" t="n">
        <f aca="false">C229-C230</f>
        <v>-2</v>
      </c>
      <c r="D231" s="109" t="n">
        <f aca="false">D229-D230</f>
        <v>-7</v>
      </c>
      <c r="E231" s="126" t="n">
        <f aca="false">E229-E230</f>
        <v>-3</v>
      </c>
      <c r="F231" s="109" t="n">
        <f aca="false">F229-F230</f>
        <v>0</v>
      </c>
      <c r="G231" s="109" t="n">
        <f aca="false">G229-G230</f>
        <v>1</v>
      </c>
      <c r="H231" s="109" t="n">
        <f aca="false">H229-H230</f>
        <v>0</v>
      </c>
      <c r="I231" s="109" t="n">
        <f aca="false">I229-I230</f>
        <v>-22</v>
      </c>
      <c r="J231" s="126" t="n">
        <f aca="false">J229-J230</f>
        <v>-17</v>
      </c>
      <c r="K231" s="109" t="n">
        <f aca="false">K229-K230</f>
        <v>4</v>
      </c>
      <c r="L231" s="109" t="n">
        <f aca="false">L229-L230</f>
        <v>-2</v>
      </c>
      <c r="M231" s="109"/>
      <c r="N231" s="109"/>
      <c r="O231" s="109"/>
      <c r="P231" s="109"/>
      <c r="Q231" s="109"/>
      <c r="R231" s="126"/>
      <c r="S231" s="109" t="n">
        <f aca="false">S229-S230</f>
        <v>-48</v>
      </c>
    </row>
    <row r="232" customFormat="false" ht="13.5" hidden="false" customHeight="false" outlineLevel="0" collapsed="false">
      <c r="A232" s="142"/>
      <c r="B232" s="114" t="s">
        <v>9</v>
      </c>
      <c r="C232" s="117" t="n">
        <f aca="false">C231/C230</f>
        <v>-0.333333333333333</v>
      </c>
      <c r="D232" s="117" t="n">
        <f aca="false">D231/D230</f>
        <v>-0.583333333333333</v>
      </c>
      <c r="E232" s="117" t="n">
        <f aca="false">E231/E230</f>
        <v>-0.75</v>
      </c>
      <c r="F232" s="117" t="n">
        <f aca="false">F231/F230</f>
        <v>0</v>
      </c>
      <c r="G232" s="117" t="n">
        <v>0</v>
      </c>
      <c r="H232" s="117" t="n">
        <v>0</v>
      </c>
      <c r="I232" s="117" t="n">
        <f aca="false">I231/I230</f>
        <v>-0.511627906976744</v>
      </c>
      <c r="J232" s="117" t="n">
        <f aca="false">J231/J230</f>
        <v>-0.80952380952381</v>
      </c>
      <c r="K232" s="117" t="n">
        <f aca="false">K231/K230</f>
        <v>4</v>
      </c>
      <c r="L232" s="117" t="n">
        <f aca="false">L231/L230</f>
        <v>-0.285714285714286</v>
      </c>
      <c r="M232" s="117"/>
      <c r="N232" s="117"/>
      <c r="O232" s="117"/>
      <c r="P232" s="117"/>
      <c r="Q232" s="117"/>
      <c r="R232" s="140"/>
      <c r="S232" s="117" t="n">
        <f aca="false">S231/S230</f>
        <v>-0.475247524752475</v>
      </c>
    </row>
    <row r="233" customFormat="false" ht="13.5" hidden="false" customHeight="false" outlineLevel="0" collapsed="false">
      <c r="A233" s="154" t="s">
        <v>122</v>
      </c>
      <c r="B233" s="124"/>
      <c r="C233" s="125"/>
      <c r="D233" s="125"/>
      <c r="E233" s="125"/>
      <c r="F233" s="125"/>
      <c r="G233" s="125"/>
      <c r="H233" s="125"/>
      <c r="I233" s="125"/>
      <c r="J233" s="184"/>
      <c r="K233" s="125"/>
      <c r="L233" s="125"/>
      <c r="M233" s="125"/>
      <c r="N233" s="125"/>
      <c r="O233" s="125"/>
      <c r="P233" s="125"/>
      <c r="Q233" s="125"/>
      <c r="R233" s="125"/>
      <c r="S233" s="125"/>
    </row>
    <row r="234" customFormat="false" ht="23.25" hidden="false" customHeight="false" outlineLevel="0" collapsed="false">
      <c r="A234" s="127"/>
      <c r="B234" s="128"/>
      <c r="C234" s="132" t="s">
        <v>123</v>
      </c>
      <c r="D234" s="129" t="s">
        <v>124</v>
      </c>
      <c r="E234" s="129" t="s">
        <v>125</v>
      </c>
      <c r="F234" s="129" t="s">
        <v>126</v>
      </c>
      <c r="G234" s="130" t="s">
        <v>127</v>
      </c>
      <c r="H234" s="185" t="s">
        <v>128</v>
      </c>
      <c r="I234" s="129"/>
      <c r="J234" s="130"/>
      <c r="K234" s="134"/>
      <c r="L234" s="135"/>
      <c r="M234" s="134"/>
      <c r="N234" s="134"/>
      <c r="O234" s="134"/>
      <c r="P234" s="134"/>
      <c r="Q234" s="134"/>
      <c r="R234" s="135"/>
      <c r="S234" s="134" t="s">
        <v>51</v>
      </c>
    </row>
    <row r="235" customFormat="false" ht="12.75" hidden="false" customHeight="false" outlineLevel="0" collapsed="false">
      <c r="A235" s="136"/>
      <c r="B235" s="107" t="n">
        <v>2016</v>
      </c>
      <c r="C235" s="109" t="n">
        <f aca="false">C239+C243+C251+C255+C259+C263+C267</f>
        <v>168</v>
      </c>
      <c r="D235" s="109" t="n">
        <f aca="false">D239+D243+D251+D255+D259+D263+D267</f>
        <v>1824</v>
      </c>
      <c r="E235" s="109" t="n">
        <f aca="false">E239+E243+E251+E255+E259+E263+E267</f>
        <v>277</v>
      </c>
      <c r="F235" s="109" t="n">
        <f aca="false">F239+F243+F251+F255+F259+F263+F267</f>
        <v>189</v>
      </c>
      <c r="G235" s="109" t="n">
        <f aca="false">G239+G243+G251+G255+G259+G263+G267</f>
        <v>285</v>
      </c>
      <c r="H235" s="109" t="n">
        <f aca="false">H239+H243+H251+H255+H259+H263+H267</f>
        <v>255</v>
      </c>
      <c r="I235" s="109"/>
      <c r="J235" s="109"/>
      <c r="K235" s="109"/>
      <c r="L235" s="109"/>
      <c r="M235" s="109"/>
      <c r="N235" s="109"/>
      <c r="O235" s="109"/>
      <c r="P235" s="109"/>
      <c r="Q235" s="109"/>
      <c r="R235" s="137"/>
      <c r="S235" s="109" t="n">
        <f aca="false">S239+S243+S251+S255+S259+S263+S267</f>
        <v>2998</v>
      </c>
    </row>
    <row r="236" customFormat="false" ht="12.75" hidden="false" customHeight="false" outlineLevel="0" collapsed="false">
      <c r="A236" s="138" t="s">
        <v>52</v>
      </c>
      <c r="B236" s="107" t="n">
        <v>2015</v>
      </c>
      <c r="C236" s="109" t="n">
        <f aca="false">C240+C244+C252+C256+C260+C264+C268</f>
        <v>163</v>
      </c>
      <c r="D236" s="109" t="n">
        <f aca="false">D240+D244+D252+D256+D260+D264+D268</f>
        <v>2041</v>
      </c>
      <c r="E236" s="109" t="n">
        <f aca="false">E240+E244+E252+E256+E260+E264+E268</f>
        <v>280</v>
      </c>
      <c r="F236" s="109" t="n">
        <f aca="false">F240+F244+F252+F256+F260+F264+F268</f>
        <v>215</v>
      </c>
      <c r="G236" s="137" t="n">
        <f aca="false">G240+G244+G252+G256+G260+G264+G268</f>
        <v>253</v>
      </c>
      <c r="H236" s="109" t="n">
        <f aca="false">SUM(H240,H244,H248,H252,H256,H260,H264,H268)</f>
        <v>354</v>
      </c>
      <c r="I236" s="109"/>
      <c r="J236" s="109"/>
      <c r="K236" s="109"/>
      <c r="L236" s="109"/>
      <c r="M236" s="109"/>
      <c r="N236" s="109"/>
      <c r="O236" s="109"/>
      <c r="P236" s="109"/>
      <c r="Q236" s="109"/>
      <c r="R236" s="137"/>
      <c r="S236" s="109" t="n">
        <f aca="false">SUM(C236:H236)</f>
        <v>3306</v>
      </c>
    </row>
    <row r="237" customFormat="false" ht="12.75" hidden="false" customHeight="false" outlineLevel="0" collapsed="false">
      <c r="A237" s="136"/>
      <c r="B237" s="112" t="s">
        <v>53</v>
      </c>
      <c r="C237" s="109" t="n">
        <f aca="false">C235-C236</f>
        <v>5</v>
      </c>
      <c r="D237" s="109" t="n">
        <f aca="false">D235-D236</f>
        <v>-217</v>
      </c>
      <c r="E237" s="109" t="n">
        <f aca="false">E235-E236</f>
        <v>-3</v>
      </c>
      <c r="F237" s="109" t="n">
        <f aca="false">F235-F236</f>
        <v>-26</v>
      </c>
      <c r="G237" s="109" t="n">
        <f aca="false">G235-G236</f>
        <v>32</v>
      </c>
      <c r="H237" s="109" t="n">
        <f aca="false">H235-H236</f>
        <v>-99</v>
      </c>
      <c r="I237" s="109"/>
      <c r="J237" s="126"/>
      <c r="K237" s="109"/>
      <c r="L237" s="126"/>
      <c r="M237" s="109"/>
      <c r="N237" s="109"/>
      <c r="O237" s="109"/>
      <c r="P237" s="109"/>
      <c r="Q237" s="109"/>
      <c r="R237" s="126"/>
      <c r="S237" s="109" t="n">
        <f aca="false">S235-S236</f>
        <v>-308</v>
      </c>
    </row>
    <row r="238" customFormat="false" ht="13.5" hidden="false" customHeight="false" outlineLevel="0" collapsed="false">
      <c r="A238" s="139"/>
      <c r="B238" s="114" t="s">
        <v>9</v>
      </c>
      <c r="C238" s="117" t="n">
        <f aca="false">C237/C236</f>
        <v>0.0306748466257669</v>
      </c>
      <c r="D238" s="117" t="n">
        <f aca="false">D237/D236</f>
        <v>-0.106320431161196</v>
      </c>
      <c r="E238" s="117" t="n">
        <f aca="false">E237/E236</f>
        <v>-0.0107142857142857</v>
      </c>
      <c r="F238" s="117" t="n">
        <f aca="false">F237/F236</f>
        <v>-0.12093023255814</v>
      </c>
      <c r="G238" s="117" t="n">
        <f aca="false">G237/G236</f>
        <v>0.126482213438735</v>
      </c>
      <c r="H238" s="117" t="n">
        <f aca="false">H237/H236</f>
        <v>-0.279661016949153</v>
      </c>
      <c r="I238" s="117"/>
      <c r="J238" s="140"/>
      <c r="K238" s="117"/>
      <c r="L238" s="140"/>
      <c r="M238" s="117"/>
      <c r="N238" s="117"/>
      <c r="O238" s="117"/>
      <c r="P238" s="117"/>
      <c r="Q238" s="117"/>
      <c r="R238" s="140"/>
      <c r="S238" s="117" t="n">
        <f aca="false">S237/S236</f>
        <v>-0.0931639443436177</v>
      </c>
    </row>
    <row r="239" customFormat="false" ht="12.75" hidden="false" customHeight="false" outlineLevel="0" collapsed="false">
      <c r="A239" s="136"/>
      <c r="B239" s="107" t="n">
        <v>2016</v>
      </c>
      <c r="C239" s="109" t="n">
        <v>7</v>
      </c>
      <c r="D239" s="109" t="n">
        <v>21</v>
      </c>
      <c r="E239" s="109" t="n">
        <v>10</v>
      </c>
      <c r="F239" s="109" t="n">
        <v>7</v>
      </c>
      <c r="G239" s="126" t="n">
        <v>3</v>
      </c>
      <c r="H239" s="109" t="n">
        <v>8</v>
      </c>
      <c r="I239" s="109"/>
      <c r="J239" s="126"/>
      <c r="K239" s="109"/>
      <c r="L239" s="126"/>
      <c r="M239" s="109"/>
      <c r="N239" s="109"/>
      <c r="O239" s="109"/>
      <c r="P239" s="109"/>
      <c r="Q239" s="109"/>
      <c r="R239" s="126"/>
      <c r="S239" s="109" t="n">
        <f aca="false">C239+D239+E239+F239+G239+H239+I239+J239+K239+L239+M239+N239+O239+P239+Q239+R239</f>
        <v>56</v>
      </c>
    </row>
    <row r="240" customFormat="false" ht="12.75" hidden="false" customHeight="false" outlineLevel="0" collapsed="false">
      <c r="A240" s="175" t="s">
        <v>54</v>
      </c>
      <c r="B240" s="107" t="n">
        <v>2015</v>
      </c>
      <c r="C240" s="109" t="n">
        <v>7</v>
      </c>
      <c r="D240" s="109" t="n">
        <v>17</v>
      </c>
      <c r="E240" s="109" t="n">
        <v>7</v>
      </c>
      <c r="F240" s="109" t="n">
        <v>15</v>
      </c>
      <c r="G240" s="126" t="n">
        <v>12</v>
      </c>
      <c r="H240" s="109" t="n">
        <v>10</v>
      </c>
      <c r="I240" s="109"/>
      <c r="J240" s="126"/>
      <c r="K240" s="109"/>
      <c r="L240" s="126"/>
      <c r="M240" s="109"/>
      <c r="N240" s="109"/>
      <c r="O240" s="109"/>
      <c r="P240" s="109"/>
      <c r="Q240" s="109"/>
      <c r="R240" s="126"/>
      <c r="S240" s="109" t="n">
        <f aca="false">C240+D240+E240+F240+G240+H240</f>
        <v>68</v>
      </c>
    </row>
    <row r="241" customFormat="false" ht="12.75" hidden="false" customHeight="false" outlineLevel="0" collapsed="false">
      <c r="A241" s="175" t="s">
        <v>55</v>
      </c>
      <c r="B241" s="112" t="s">
        <v>53</v>
      </c>
      <c r="C241" s="109" t="n">
        <f aca="false">C239-C240</f>
        <v>0</v>
      </c>
      <c r="D241" s="109" t="n">
        <f aca="false">D239-D240</f>
        <v>4</v>
      </c>
      <c r="E241" s="126" t="n">
        <f aca="false">E239-E240</f>
        <v>3</v>
      </c>
      <c r="F241" s="109" t="n">
        <f aca="false">F239-F240</f>
        <v>-8</v>
      </c>
      <c r="G241" s="109" t="n">
        <f aca="false">G239-G240</f>
        <v>-9</v>
      </c>
      <c r="H241" s="109" t="n">
        <f aca="false">H239-H240</f>
        <v>-2</v>
      </c>
      <c r="I241" s="109"/>
      <c r="J241" s="126"/>
      <c r="K241" s="109"/>
      <c r="L241" s="109"/>
      <c r="M241" s="109"/>
      <c r="N241" s="109"/>
      <c r="O241" s="109"/>
      <c r="P241" s="109"/>
      <c r="Q241" s="109"/>
      <c r="R241" s="126"/>
      <c r="S241" s="109" t="n">
        <f aca="false">S239-S240</f>
        <v>-12</v>
      </c>
    </row>
    <row r="242" customFormat="false" ht="13.5" hidden="false" customHeight="false" outlineLevel="0" collapsed="false">
      <c r="A242" s="142"/>
      <c r="B242" s="114" t="s">
        <v>9</v>
      </c>
      <c r="C242" s="117" t="n">
        <f aca="false">C241/C240</f>
        <v>0</v>
      </c>
      <c r="D242" s="117" t="n">
        <f aca="false">D241/D240</f>
        <v>0.235294117647059</v>
      </c>
      <c r="E242" s="117" t="n">
        <f aca="false">E241/E240</f>
        <v>0.428571428571429</v>
      </c>
      <c r="F242" s="117" t="n">
        <f aca="false">F241/F240</f>
        <v>-0.533333333333333</v>
      </c>
      <c r="G242" s="117" t="n">
        <f aca="false">G241/G240</f>
        <v>-0.75</v>
      </c>
      <c r="H242" s="117" t="n">
        <f aca="false">H241/H240</f>
        <v>-0.2</v>
      </c>
      <c r="I242" s="117"/>
      <c r="J242" s="117"/>
      <c r="K242" s="117"/>
      <c r="L242" s="117"/>
      <c r="M242" s="117"/>
      <c r="N242" s="117"/>
      <c r="O242" s="117"/>
      <c r="P242" s="117"/>
      <c r="Q242" s="117"/>
      <c r="R242" s="140"/>
      <c r="S242" s="117" t="n">
        <f aca="false">S241/S240</f>
        <v>-0.176470588235294</v>
      </c>
    </row>
    <row r="243" customFormat="false" ht="12.75" hidden="false" customHeight="false" outlineLevel="0" collapsed="false">
      <c r="A243" s="144"/>
      <c r="B243" s="107" t="n">
        <v>2016</v>
      </c>
      <c r="C243" s="109" t="n">
        <v>1</v>
      </c>
      <c r="D243" s="109" t="n">
        <v>6</v>
      </c>
      <c r="E243" s="109" t="n">
        <v>1</v>
      </c>
      <c r="F243" s="109" t="n">
        <v>1</v>
      </c>
      <c r="G243" s="126" t="n">
        <v>1</v>
      </c>
      <c r="H243" s="109" t="n">
        <v>0</v>
      </c>
      <c r="I243" s="109"/>
      <c r="J243" s="126"/>
      <c r="K243" s="109"/>
      <c r="L243" s="126"/>
      <c r="M243" s="109"/>
      <c r="N243" s="109"/>
      <c r="O243" s="109"/>
      <c r="P243" s="109"/>
      <c r="Q243" s="109"/>
      <c r="R243" s="126"/>
      <c r="S243" s="109" t="n">
        <f aca="false">C243+D243+E243+F243+G243+H243+I243+J243+K243+L243+M243+N243+O243+P243+Q243+R243</f>
        <v>10</v>
      </c>
    </row>
    <row r="244" customFormat="false" ht="12.75" hidden="false" customHeight="false" outlineLevel="0" collapsed="false">
      <c r="A244" s="175" t="s">
        <v>56</v>
      </c>
      <c r="B244" s="107" t="n">
        <v>2015</v>
      </c>
      <c r="C244" s="109" t="n">
        <v>0</v>
      </c>
      <c r="D244" s="109" t="n">
        <v>3</v>
      </c>
      <c r="E244" s="109" t="n">
        <v>1</v>
      </c>
      <c r="F244" s="109" t="n">
        <v>1</v>
      </c>
      <c r="G244" s="126" t="n">
        <v>2</v>
      </c>
      <c r="H244" s="109" t="n">
        <v>1</v>
      </c>
      <c r="I244" s="109"/>
      <c r="J244" s="126"/>
      <c r="K244" s="109"/>
      <c r="L244" s="126"/>
      <c r="M244" s="109"/>
      <c r="N244" s="109"/>
      <c r="O244" s="109"/>
      <c r="P244" s="109"/>
      <c r="Q244" s="109"/>
      <c r="R244" s="126"/>
      <c r="S244" s="109" t="n">
        <f aca="false">C244+D244+E244+F244+G244+H244</f>
        <v>8</v>
      </c>
    </row>
    <row r="245" customFormat="false" ht="12.75" hidden="false" customHeight="false" outlineLevel="0" collapsed="false">
      <c r="A245" s="175" t="s">
        <v>57</v>
      </c>
      <c r="B245" s="112" t="s">
        <v>53</v>
      </c>
      <c r="C245" s="109" t="n">
        <f aca="false">C243-C244</f>
        <v>1</v>
      </c>
      <c r="D245" s="109" t="n">
        <f aca="false">D243-D244</f>
        <v>3</v>
      </c>
      <c r="E245" s="126" t="n">
        <f aca="false">E243-E244</f>
        <v>0</v>
      </c>
      <c r="F245" s="109" t="n">
        <f aca="false">F243-F244</f>
        <v>0</v>
      </c>
      <c r="G245" s="109" t="n">
        <f aca="false">G243-G244</f>
        <v>-1</v>
      </c>
      <c r="H245" s="109" t="n">
        <f aca="false">H243-H244</f>
        <v>-1</v>
      </c>
      <c r="I245" s="109"/>
      <c r="J245" s="126"/>
      <c r="K245" s="109"/>
      <c r="L245" s="109"/>
      <c r="M245" s="109"/>
      <c r="N245" s="109"/>
      <c r="O245" s="109"/>
      <c r="P245" s="109"/>
      <c r="Q245" s="109"/>
      <c r="R245" s="126"/>
      <c r="S245" s="109" t="n">
        <f aca="false">S243-S244</f>
        <v>2</v>
      </c>
    </row>
    <row r="246" customFormat="false" ht="13.5" hidden="false" customHeight="false" outlineLevel="0" collapsed="false">
      <c r="A246" s="142"/>
      <c r="B246" s="114" t="s">
        <v>9</v>
      </c>
      <c r="C246" s="117" t="n">
        <v>0</v>
      </c>
      <c r="D246" s="117" t="n">
        <f aca="false">D245/D244</f>
        <v>1</v>
      </c>
      <c r="E246" s="117" t="n">
        <v>0</v>
      </c>
      <c r="F246" s="117" t="n">
        <v>0</v>
      </c>
      <c r="G246" s="117" t="n">
        <f aca="false">G245/G244</f>
        <v>-0.5</v>
      </c>
      <c r="H246" s="117" t="n">
        <v>0</v>
      </c>
      <c r="I246" s="117"/>
      <c r="J246" s="117"/>
      <c r="K246" s="117"/>
      <c r="L246" s="117"/>
      <c r="M246" s="117"/>
      <c r="N246" s="117"/>
      <c r="O246" s="117"/>
      <c r="P246" s="117"/>
      <c r="Q246" s="117"/>
      <c r="R246" s="140"/>
      <c r="S246" s="117" t="n">
        <f aca="false">S245/S244</f>
        <v>0.25</v>
      </c>
    </row>
    <row r="247" customFormat="false" ht="12.75" hidden="false" customHeight="false" outlineLevel="0" collapsed="false">
      <c r="A247" s="144"/>
      <c r="B247" s="107" t="n">
        <v>2016</v>
      </c>
      <c r="C247" s="109" t="n">
        <v>0</v>
      </c>
      <c r="D247" s="109" t="n">
        <v>0</v>
      </c>
      <c r="E247" s="109" t="n">
        <v>0</v>
      </c>
      <c r="F247" s="109" t="n">
        <v>0</v>
      </c>
      <c r="G247" s="126" t="n">
        <v>0</v>
      </c>
      <c r="H247" s="109" t="n">
        <v>0</v>
      </c>
      <c r="I247" s="109"/>
      <c r="J247" s="126"/>
      <c r="K247" s="109"/>
      <c r="L247" s="126"/>
      <c r="M247" s="109"/>
      <c r="N247" s="109"/>
      <c r="O247" s="109"/>
      <c r="P247" s="109"/>
      <c r="Q247" s="109"/>
      <c r="R247" s="126"/>
      <c r="S247" s="109" t="n">
        <f aca="false">C247+D247+E247+F247+G247+H247+I247+J247+K247+L247+M247+N247+O247+P247+Q247+R247</f>
        <v>0</v>
      </c>
    </row>
    <row r="248" customFormat="false" ht="12.75" hidden="false" customHeight="false" outlineLevel="0" collapsed="false">
      <c r="A248" s="138" t="s">
        <v>58</v>
      </c>
      <c r="B248" s="107" t="n">
        <v>2015</v>
      </c>
      <c r="C248" s="109" t="n">
        <v>0</v>
      </c>
      <c r="D248" s="109" t="n">
        <v>0</v>
      </c>
      <c r="E248" s="109" t="n">
        <v>0</v>
      </c>
      <c r="F248" s="109" t="n">
        <v>0</v>
      </c>
      <c r="G248" s="126" t="n">
        <v>0</v>
      </c>
      <c r="H248" s="109" t="n">
        <v>1</v>
      </c>
      <c r="I248" s="109"/>
      <c r="J248" s="126"/>
      <c r="K248" s="109"/>
      <c r="L248" s="126"/>
      <c r="M248" s="109"/>
      <c r="N248" s="109"/>
      <c r="O248" s="109"/>
      <c r="P248" s="109"/>
      <c r="Q248" s="109"/>
      <c r="R248" s="126"/>
      <c r="S248" s="109" t="n">
        <f aca="false">SUM(C248,D248,E248,F248,G248,H248)</f>
        <v>1</v>
      </c>
    </row>
    <row r="249" customFormat="false" ht="12.75" hidden="false" customHeight="false" outlineLevel="0" collapsed="false">
      <c r="A249" s="138" t="s">
        <v>59</v>
      </c>
      <c r="B249" s="112" t="s">
        <v>53</v>
      </c>
      <c r="C249" s="109" t="n">
        <f aca="false">C247-C248</f>
        <v>0</v>
      </c>
      <c r="D249" s="109" t="n">
        <f aca="false">D247-D248</f>
        <v>0</v>
      </c>
      <c r="E249" s="126" t="n">
        <f aca="false">E247-E248</f>
        <v>0</v>
      </c>
      <c r="F249" s="109" t="n">
        <f aca="false">F247-F248</f>
        <v>0</v>
      </c>
      <c r="G249" s="109" t="n">
        <f aca="false">G247-G248</f>
        <v>0</v>
      </c>
      <c r="H249" s="109" t="n">
        <f aca="false">H247-H248</f>
        <v>-1</v>
      </c>
      <c r="I249" s="109"/>
      <c r="J249" s="126"/>
      <c r="K249" s="109"/>
      <c r="L249" s="109"/>
      <c r="M249" s="109"/>
      <c r="N249" s="109"/>
      <c r="O249" s="109"/>
      <c r="P249" s="109"/>
      <c r="Q249" s="109"/>
      <c r="R249" s="126"/>
      <c r="S249" s="109" t="n">
        <f aca="false">S247-S248</f>
        <v>-1</v>
      </c>
    </row>
    <row r="250" customFormat="false" ht="13.5" hidden="false" customHeight="false" outlineLevel="0" collapsed="false">
      <c r="A250" s="142"/>
      <c r="B250" s="114" t="s">
        <v>9</v>
      </c>
      <c r="C250" s="117" t="n">
        <v>0</v>
      </c>
      <c r="D250" s="117" t="n">
        <v>0</v>
      </c>
      <c r="E250" s="117" t="n">
        <v>0</v>
      </c>
      <c r="F250" s="117" t="n">
        <v>0</v>
      </c>
      <c r="G250" s="117" t="n">
        <v>0</v>
      </c>
      <c r="H250" s="117" t="n">
        <f aca="false">H249/H248</f>
        <v>-1</v>
      </c>
      <c r="I250" s="117"/>
      <c r="J250" s="117"/>
      <c r="K250" s="117"/>
      <c r="L250" s="117"/>
      <c r="M250" s="117"/>
      <c r="N250" s="117"/>
      <c r="O250" s="117"/>
      <c r="P250" s="117"/>
      <c r="Q250" s="117"/>
      <c r="R250" s="140"/>
      <c r="S250" s="117" t="n">
        <v>0</v>
      </c>
    </row>
    <row r="251" customFormat="false" ht="12.75" hidden="false" customHeight="false" outlineLevel="0" collapsed="false">
      <c r="A251" s="144"/>
      <c r="B251" s="107" t="n">
        <v>2016</v>
      </c>
      <c r="C251" s="109" t="n">
        <v>19</v>
      </c>
      <c r="D251" s="109" t="n">
        <v>134</v>
      </c>
      <c r="E251" s="109" t="n">
        <v>28</v>
      </c>
      <c r="F251" s="109" t="n">
        <v>22</v>
      </c>
      <c r="G251" s="126" t="n">
        <v>27</v>
      </c>
      <c r="H251" s="109" t="n">
        <v>25</v>
      </c>
      <c r="I251" s="109"/>
      <c r="J251" s="126"/>
      <c r="K251" s="109"/>
      <c r="L251" s="126"/>
      <c r="M251" s="109"/>
      <c r="N251" s="109"/>
      <c r="O251" s="109"/>
      <c r="P251" s="109"/>
      <c r="Q251" s="109"/>
      <c r="R251" s="126"/>
      <c r="S251" s="109" t="n">
        <f aca="false">C251+D251+E251+F251+G251+H251+I251+J251+K251+L251+M251+N251+O251+P251+Q251+R251</f>
        <v>255</v>
      </c>
    </row>
    <row r="252" customFormat="false" ht="12.75" hidden="false" customHeight="false" outlineLevel="0" collapsed="false">
      <c r="A252" s="175" t="s">
        <v>60</v>
      </c>
      <c r="B252" s="107" t="n">
        <v>2015</v>
      </c>
      <c r="C252" s="109" t="n">
        <v>19</v>
      </c>
      <c r="D252" s="109" t="n">
        <v>199</v>
      </c>
      <c r="E252" s="109" t="n">
        <v>29</v>
      </c>
      <c r="F252" s="109" t="n">
        <v>32</v>
      </c>
      <c r="G252" s="126" t="n">
        <v>40</v>
      </c>
      <c r="H252" s="109" t="n">
        <v>45</v>
      </c>
      <c r="I252" s="109"/>
      <c r="J252" s="126"/>
      <c r="K252" s="109"/>
      <c r="L252" s="126"/>
      <c r="M252" s="109"/>
      <c r="N252" s="109"/>
      <c r="O252" s="109"/>
      <c r="P252" s="109"/>
      <c r="Q252" s="109"/>
      <c r="R252" s="126"/>
      <c r="S252" s="109" t="n">
        <f aca="false">C252+D252+E252+F252+G252+H252</f>
        <v>364</v>
      </c>
    </row>
    <row r="253" customFormat="false" ht="12.75" hidden="false" customHeight="false" outlineLevel="0" collapsed="false">
      <c r="A253" s="144"/>
      <c r="B253" s="112" t="s">
        <v>53</v>
      </c>
      <c r="C253" s="109" t="n">
        <f aca="false">C251-C252</f>
        <v>0</v>
      </c>
      <c r="D253" s="109" t="n">
        <f aca="false">D251-D252</f>
        <v>-65</v>
      </c>
      <c r="E253" s="126" t="n">
        <f aca="false">E251-E252</f>
        <v>-1</v>
      </c>
      <c r="F253" s="109" t="n">
        <f aca="false">F251-F252</f>
        <v>-10</v>
      </c>
      <c r="G253" s="109" t="n">
        <f aca="false">G251-G252</f>
        <v>-13</v>
      </c>
      <c r="H253" s="109" t="n">
        <f aca="false">H251-H252</f>
        <v>-20</v>
      </c>
      <c r="I253" s="109"/>
      <c r="J253" s="126"/>
      <c r="K253" s="109"/>
      <c r="L253" s="109"/>
      <c r="M253" s="109"/>
      <c r="N253" s="109"/>
      <c r="O253" s="109"/>
      <c r="P253" s="109"/>
      <c r="Q253" s="109"/>
      <c r="R253" s="126"/>
      <c r="S253" s="109" t="n">
        <f aca="false">S251-S252</f>
        <v>-109</v>
      </c>
    </row>
    <row r="254" customFormat="false" ht="13.5" hidden="false" customHeight="false" outlineLevel="0" collapsed="false">
      <c r="A254" s="142"/>
      <c r="B254" s="114" t="s">
        <v>9</v>
      </c>
      <c r="C254" s="117" t="n">
        <f aca="false">C253/C252</f>
        <v>0</v>
      </c>
      <c r="D254" s="117" t="n">
        <f aca="false">D253/D252</f>
        <v>-0.326633165829146</v>
      </c>
      <c r="E254" s="117" t="n">
        <f aca="false">E253/E252</f>
        <v>-0.0344827586206897</v>
      </c>
      <c r="F254" s="117" t="n">
        <f aca="false">F253/F252</f>
        <v>-0.3125</v>
      </c>
      <c r="G254" s="117" t="n">
        <f aca="false">G253/G252</f>
        <v>-0.325</v>
      </c>
      <c r="H254" s="117" t="n">
        <f aca="false">H253/H252</f>
        <v>-0.444444444444444</v>
      </c>
      <c r="I254" s="117"/>
      <c r="J254" s="117"/>
      <c r="K254" s="117"/>
      <c r="L254" s="117"/>
      <c r="M254" s="117"/>
      <c r="N254" s="117"/>
      <c r="O254" s="117"/>
      <c r="P254" s="117"/>
      <c r="Q254" s="117"/>
      <c r="R254" s="140"/>
      <c r="S254" s="117" t="n">
        <f aca="false">S253/S252</f>
        <v>-0.299450549450549</v>
      </c>
    </row>
    <row r="255" customFormat="false" ht="12.75" hidden="false" customHeight="false" outlineLevel="0" collapsed="false">
      <c r="A255" s="144"/>
      <c r="B255" s="107" t="n">
        <v>2016</v>
      </c>
      <c r="C255" s="109" t="n">
        <v>11</v>
      </c>
      <c r="D255" s="109" t="n">
        <v>79</v>
      </c>
      <c r="E255" s="109" t="n">
        <v>23</v>
      </c>
      <c r="F255" s="109" t="n">
        <v>14</v>
      </c>
      <c r="G255" s="126" t="n">
        <v>34</v>
      </c>
      <c r="H255" s="109" t="n">
        <v>32</v>
      </c>
      <c r="I255" s="109"/>
      <c r="J255" s="126"/>
      <c r="K255" s="109"/>
      <c r="L255" s="126"/>
      <c r="M255" s="109"/>
      <c r="N255" s="109"/>
      <c r="O255" s="109"/>
      <c r="P255" s="109"/>
      <c r="Q255" s="109"/>
      <c r="R255" s="126"/>
      <c r="S255" s="109" t="n">
        <f aca="false">C255+D255+E255+F255+G255+H255+I255+J255+K255+L255+M255+N255+O255+P255+Q255+R255</f>
        <v>193</v>
      </c>
    </row>
    <row r="256" customFormat="false" ht="12.75" hidden="false" customHeight="false" outlineLevel="0" collapsed="false">
      <c r="A256" s="175" t="s">
        <v>61</v>
      </c>
      <c r="B256" s="107" t="n">
        <v>2015</v>
      </c>
      <c r="C256" s="109" t="n">
        <v>21</v>
      </c>
      <c r="D256" s="109" t="n">
        <v>89</v>
      </c>
      <c r="E256" s="109" t="n">
        <v>26</v>
      </c>
      <c r="F256" s="109" t="n">
        <v>33</v>
      </c>
      <c r="G256" s="126" t="n">
        <v>24</v>
      </c>
      <c r="H256" s="109" t="n">
        <v>23</v>
      </c>
      <c r="I256" s="109"/>
      <c r="J256" s="126"/>
      <c r="K256" s="109"/>
      <c r="L256" s="126"/>
      <c r="M256" s="109"/>
      <c r="N256" s="109"/>
      <c r="O256" s="109"/>
      <c r="P256" s="109"/>
      <c r="Q256" s="109"/>
      <c r="R256" s="126"/>
      <c r="S256" s="109" t="n">
        <f aca="false">C256+D256+E256+F256+G256+H256</f>
        <v>216</v>
      </c>
    </row>
    <row r="257" customFormat="false" ht="12.75" hidden="false" customHeight="false" outlineLevel="0" collapsed="false">
      <c r="A257" s="175" t="s">
        <v>62</v>
      </c>
      <c r="B257" s="112" t="s">
        <v>53</v>
      </c>
      <c r="C257" s="109" t="n">
        <f aca="false">C255-C256</f>
        <v>-10</v>
      </c>
      <c r="D257" s="109" t="n">
        <f aca="false">D255-D256</f>
        <v>-10</v>
      </c>
      <c r="E257" s="126" t="n">
        <f aca="false">E255-E256</f>
        <v>-3</v>
      </c>
      <c r="F257" s="109" t="n">
        <f aca="false">F255-F256</f>
        <v>-19</v>
      </c>
      <c r="G257" s="109" t="n">
        <f aca="false">G255-G256</f>
        <v>10</v>
      </c>
      <c r="H257" s="109" t="n">
        <f aca="false">H255-H256</f>
        <v>9</v>
      </c>
      <c r="I257" s="109"/>
      <c r="J257" s="126"/>
      <c r="K257" s="109"/>
      <c r="L257" s="126"/>
      <c r="M257" s="109"/>
      <c r="N257" s="109"/>
      <c r="O257" s="109"/>
      <c r="P257" s="109"/>
      <c r="Q257" s="109"/>
      <c r="R257" s="126"/>
      <c r="S257" s="109" t="n">
        <f aca="false">S255-S256</f>
        <v>-23</v>
      </c>
    </row>
    <row r="258" customFormat="false" ht="13.5" hidden="false" customHeight="false" outlineLevel="0" collapsed="false">
      <c r="A258" s="142"/>
      <c r="B258" s="114" t="s">
        <v>9</v>
      </c>
      <c r="C258" s="117" t="n">
        <f aca="false">C257/C256</f>
        <v>-0.476190476190476</v>
      </c>
      <c r="D258" s="117" t="n">
        <f aca="false">D257/D256</f>
        <v>-0.112359550561798</v>
      </c>
      <c r="E258" s="117" t="n">
        <f aca="false">E257/E256</f>
        <v>-0.115384615384615</v>
      </c>
      <c r="F258" s="117" t="n">
        <f aca="false">F257/F256</f>
        <v>-0.575757575757576</v>
      </c>
      <c r="G258" s="117" t="n">
        <f aca="false">G257/G256</f>
        <v>0.416666666666667</v>
      </c>
      <c r="H258" s="117" t="n">
        <f aca="false">H257/H256</f>
        <v>0.391304347826087</v>
      </c>
      <c r="I258" s="117"/>
      <c r="J258" s="140"/>
      <c r="K258" s="117"/>
      <c r="L258" s="140"/>
      <c r="M258" s="117"/>
      <c r="N258" s="117"/>
      <c r="O258" s="117"/>
      <c r="P258" s="117"/>
      <c r="Q258" s="117"/>
      <c r="R258" s="140"/>
      <c r="S258" s="117" t="n">
        <f aca="false">S257/S256</f>
        <v>-0.106481481481481</v>
      </c>
    </row>
    <row r="259" customFormat="false" ht="12.75" hidden="false" customHeight="false" outlineLevel="0" collapsed="false">
      <c r="A259" s="144"/>
      <c r="B259" s="107" t="n">
        <v>2016</v>
      </c>
      <c r="C259" s="109" t="n">
        <v>39</v>
      </c>
      <c r="D259" s="109" t="n">
        <v>315</v>
      </c>
      <c r="E259" s="109" t="n">
        <v>47</v>
      </c>
      <c r="F259" s="109" t="n">
        <v>38</v>
      </c>
      <c r="G259" s="126" t="n">
        <v>79</v>
      </c>
      <c r="H259" s="109" t="n">
        <v>76</v>
      </c>
      <c r="I259" s="109"/>
      <c r="J259" s="126"/>
      <c r="K259" s="109"/>
      <c r="L259" s="126"/>
      <c r="M259" s="109"/>
      <c r="N259" s="109"/>
      <c r="O259" s="109"/>
      <c r="P259" s="109"/>
      <c r="Q259" s="109"/>
      <c r="R259" s="126"/>
      <c r="S259" s="109" t="n">
        <f aca="false">C259+D259+E259+F259+G259+H259+I259+J259+K259+L259+M259+N259+O259+P259+Q259+R259</f>
        <v>594</v>
      </c>
    </row>
    <row r="260" customFormat="false" ht="12.75" hidden="false" customHeight="false" outlineLevel="0" collapsed="false">
      <c r="A260" s="175" t="s">
        <v>63</v>
      </c>
      <c r="B260" s="107" t="n">
        <v>2015</v>
      </c>
      <c r="C260" s="109" t="n">
        <v>50</v>
      </c>
      <c r="D260" s="109" t="n">
        <v>348</v>
      </c>
      <c r="E260" s="109" t="n">
        <v>56</v>
      </c>
      <c r="F260" s="109" t="n">
        <v>47</v>
      </c>
      <c r="G260" s="126" t="n">
        <v>58</v>
      </c>
      <c r="H260" s="109" t="n">
        <v>125</v>
      </c>
      <c r="I260" s="109"/>
      <c r="J260" s="126"/>
      <c r="K260" s="109"/>
      <c r="L260" s="126"/>
      <c r="M260" s="109"/>
      <c r="N260" s="109"/>
      <c r="O260" s="109"/>
      <c r="P260" s="109"/>
      <c r="Q260" s="109"/>
      <c r="R260" s="126"/>
      <c r="S260" s="109" t="n">
        <f aca="false">C260+D260+E260+F260+G260+H260</f>
        <v>684</v>
      </c>
    </row>
    <row r="261" customFormat="false" ht="12.75" hidden="false" customHeight="false" outlineLevel="0" collapsed="false">
      <c r="A261" s="144"/>
      <c r="B261" s="112" t="s">
        <v>53</v>
      </c>
      <c r="C261" s="109" t="n">
        <f aca="false">C259-C260</f>
        <v>-11</v>
      </c>
      <c r="D261" s="109" t="n">
        <f aca="false">D259-D260</f>
        <v>-33</v>
      </c>
      <c r="E261" s="126" t="n">
        <f aca="false">E259-E260</f>
        <v>-9</v>
      </c>
      <c r="F261" s="109" t="n">
        <f aca="false">F259-F260</f>
        <v>-9</v>
      </c>
      <c r="G261" s="109" t="n">
        <f aca="false">G259-G260</f>
        <v>21</v>
      </c>
      <c r="H261" s="109" t="n">
        <f aca="false">H259-H260</f>
        <v>-49</v>
      </c>
      <c r="I261" s="109"/>
      <c r="J261" s="126"/>
      <c r="K261" s="109"/>
      <c r="L261" s="126"/>
      <c r="M261" s="109"/>
      <c r="N261" s="109"/>
      <c r="O261" s="109"/>
      <c r="P261" s="109"/>
      <c r="Q261" s="109"/>
      <c r="R261" s="126"/>
      <c r="S261" s="109" t="n">
        <f aca="false">S259-S260</f>
        <v>-90</v>
      </c>
    </row>
    <row r="262" customFormat="false" ht="13.5" hidden="false" customHeight="false" outlineLevel="0" collapsed="false">
      <c r="A262" s="142"/>
      <c r="B262" s="114" t="s">
        <v>9</v>
      </c>
      <c r="C262" s="117" t="n">
        <f aca="false">C261/C260</f>
        <v>-0.22</v>
      </c>
      <c r="D262" s="117" t="n">
        <f aca="false">D261/D260</f>
        <v>-0.0948275862068966</v>
      </c>
      <c r="E262" s="117" t="n">
        <f aca="false">E261/E260</f>
        <v>-0.160714285714286</v>
      </c>
      <c r="F262" s="117" t="n">
        <f aca="false">F261/F260</f>
        <v>-0.191489361702128</v>
      </c>
      <c r="G262" s="117" t="n">
        <f aca="false">G261/G260</f>
        <v>0.362068965517241</v>
      </c>
      <c r="H262" s="117" t="n">
        <f aca="false">H261/H260</f>
        <v>-0.392</v>
      </c>
      <c r="I262" s="117"/>
      <c r="J262" s="140"/>
      <c r="K262" s="117"/>
      <c r="L262" s="140"/>
      <c r="M262" s="117"/>
      <c r="N262" s="117"/>
      <c r="O262" s="117"/>
      <c r="P262" s="117"/>
      <c r="Q262" s="117"/>
      <c r="R262" s="140"/>
      <c r="S262" s="117" t="n">
        <f aca="false">S261/S260</f>
        <v>-0.131578947368421</v>
      </c>
    </row>
    <row r="263" customFormat="false" ht="12.75" hidden="false" customHeight="false" outlineLevel="0" collapsed="false">
      <c r="A263" s="144"/>
      <c r="B263" s="107" t="n">
        <v>2016</v>
      </c>
      <c r="C263" s="109" t="n">
        <v>70</v>
      </c>
      <c r="D263" s="109" t="n">
        <v>1105</v>
      </c>
      <c r="E263" s="109" t="n">
        <v>146</v>
      </c>
      <c r="F263" s="109" t="n">
        <v>93</v>
      </c>
      <c r="G263" s="126" t="n">
        <v>123</v>
      </c>
      <c r="H263" s="109" t="n">
        <v>99</v>
      </c>
      <c r="I263" s="109"/>
      <c r="J263" s="126"/>
      <c r="K263" s="109"/>
      <c r="L263" s="126"/>
      <c r="M263" s="109"/>
      <c r="N263" s="109"/>
      <c r="O263" s="109"/>
      <c r="P263" s="109"/>
      <c r="Q263" s="109"/>
      <c r="R263" s="126"/>
      <c r="S263" s="109" t="n">
        <f aca="false">C263+D263+E263+F263+G263+H263+I263+J263+K263+L263+M263+N263+O263+P263+Q263+R263</f>
        <v>1636</v>
      </c>
    </row>
    <row r="264" customFormat="false" ht="12.75" hidden="false" customHeight="false" outlineLevel="0" collapsed="false">
      <c r="A264" s="175" t="s">
        <v>64</v>
      </c>
      <c r="B264" s="107" t="n">
        <v>2015</v>
      </c>
      <c r="C264" s="109" t="n">
        <v>57</v>
      </c>
      <c r="D264" s="109" t="n">
        <v>1195</v>
      </c>
      <c r="E264" s="109" t="n">
        <v>138</v>
      </c>
      <c r="F264" s="109" t="n">
        <v>78</v>
      </c>
      <c r="G264" s="126" t="n">
        <v>98</v>
      </c>
      <c r="H264" s="109" t="n">
        <v>119</v>
      </c>
      <c r="I264" s="109"/>
      <c r="J264" s="126"/>
      <c r="K264" s="109"/>
      <c r="L264" s="126"/>
      <c r="M264" s="109"/>
      <c r="N264" s="109"/>
      <c r="O264" s="109"/>
      <c r="P264" s="109"/>
      <c r="Q264" s="109"/>
      <c r="R264" s="126"/>
      <c r="S264" s="109" t="n">
        <f aca="false">C264+D264+E264+F264+G264+H264</f>
        <v>1685</v>
      </c>
    </row>
    <row r="265" customFormat="false" ht="12.75" hidden="false" customHeight="false" outlineLevel="0" collapsed="false">
      <c r="A265" s="175" t="s">
        <v>65</v>
      </c>
      <c r="B265" s="112" t="s">
        <v>53</v>
      </c>
      <c r="C265" s="109" t="n">
        <f aca="false">C263-C264</f>
        <v>13</v>
      </c>
      <c r="D265" s="109" t="n">
        <f aca="false">D263-D264</f>
        <v>-90</v>
      </c>
      <c r="E265" s="126" t="n">
        <f aca="false">E263-E264</f>
        <v>8</v>
      </c>
      <c r="F265" s="109" t="n">
        <f aca="false">F263-F264</f>
        <v>15</v>
      </c>
      <c r="G265" s="109" t="n">
        <f aca="false">G263-G264</f>
        <v>25</v>
      </c>
      <c r="H265" s="109" t="n">
        <f aca="false">H263-H264</f>
        <v>-20</v>
      </c>
      <c r="I265" s="109"/>
      <c r="J265" s="126"/>
      <c r="K265" s="109"/>
      <c r="L265" s="126"/>
      <c r="M265" s="109"/>
      <c r="N265" s="109"/>
      <c r="O265" s="109"/>
      <c r="P265" s="109"/>
      <c r="Q265" s="109"/>
      <c r="R265" s="126"/>
      <c r="S265" s="109" t="n">
        <f aca="false">S263-S264</f>
        <v>-49</v>
      </c>
    </row>
    <row r="266" customFormat="false" ht="13.5" hidden="false" customHeight="false" outlineLevel="0" collapsed="false">
      <c r="A266" s="142"/>
      <c r="B266" s="114" t="s">
        <v>9</v>
      </c>
      <c r="C266" s="117" t="n">
        <f aca="false">C265/C264</f>
        <v>0.228070175438596</v>
      </c>
      <c r="D266" s="117" t="n">
        <f aca="false">D265/D264</f>
        <v>-0.0753138075313808</v>
      </c>
      <c r="E266" s="117" t="n">
        <f aca="false">E265/E264</f>
        <v>0.0579710144927536</v>
      </c>
      <c r="F266" s="117" t="n">
        <f aca="false">F265/F264</f>
        <v>0.192307692307692</v>
      </c>
      <c r="G266" s="117" t="n">
        <f aca="false">G265/G264</f>
        <v>0.255102040816327</v>
      </c>
      <c r="H266" s="117" t="n">
        <f aca="false">H265/H264</f>
        <v>-0.168067226890756</v>
      </c>
      <c r="I266" s="117"/>
      <c r="J266" s="140"/>
      <c r="K266" s="117"/>
      <c r="L266" s="140"/>
      <c r="M266" s="117"/>
      <c r="N266" s="117"/>
      <c r="O266" s="117"/>
      <c r="P266" s="117"/>
      <c r="Q266" s="117"/>
      <c r="R266" s="140"/>
      <c r="S266" s="117" t="n">
        <f aca="false">S265/S264</f>
        <v>-0.029080118694362</v>
      </c>
    </row>
    <row r="267" customFormat="false" ht="12.75" hidden="false" customHeight="false" outlineLevel="0" collapsed="false">
      <c r="A267" s="144" t="s">
        <v>129</v>
      </c>
      <c r="B267" s="107" t="n">
        <v>2016</v>
      </c>
      <c r="C267" s="109" t="n">
        <v>21</v>
      </c>
      <c r="D267" s="109" t="n">
        <v>164</v>
      </c>
      <c r="E267" s="109" t="n">
        <v>22</v>
      </c>
      <c r="F267" s="109" t="n">
        <v>14</v>
      </c>
      <c r="G267" s="126" t="n">
        <v>18</v>
      </c>
      <c r="H267" s="109" t="n">
        <v>15</v>
      </c>
      <c r="I267" s="109"/>
      <c r="J267" s="126"/>
      <c r="K267" s="109"/>
      <c r="L267" s="126"/>
      <c r="M267" s="109"/>
      <c r="N267" s="109"/>
      <c r="O267" s="109"/>
      <c r="P267" s="109"/>
      <c r="Q267" s="109"/>
      <c r="R267" s="126"/>
      <c r="S267" s="109" t="n">
        <f aca="false">C267+D267+E267+F267+G267+H267+I267+J267+K267+L267+M267+N267+O267+P267+Q267+R267</f>
        <v>254</v>
      </c>
    </row>
    <row r="268" customFormat="false" ht="12.75" hidden="false" customHeight="false" outlineLevel="0" collapsed="false">
      <c r="A268" s="175" t="s">
        <v>66</v>
      </c>
      <c r="B268" s="107" t="n">
        <v>2015</v>
      </c>
      <c r="C268" s="109" t="n">
        <v>9</v>
      </c>
      <c r="D268" s="109" t="n">
        <v>190</v>
      </c>
      <c r="E268" s="109" t="n">
        <v>23</v>
      </c>
      <c r="F268" s="109" t="n">
        <v>9</v>
      </c>
      <c r="G268" s="126" t="n">
        <v>19</v>
      </c>
      <c r="H268" s="109" t="n">
        <v>30</v>
      </c>
      <c r="I268" s="109"/>
      <c r="J268" s="126"/>
      <c r="K268" s="109"/>
      <c r="L268" s="126"/>
      <c r="M268" s="109"/>
      <c r="N268" s="109"/>
      <c r="O268" s="109"/>
      <c r="P268" s="109"/>
      <c r="Q268" s="109"/>
      <c r="R268" s="126"/>
      <c r="S268" s="109" t="n">
        <f aca="false">C268+D268+E268+F268+G268+H268</f>
        <v>280</v>
      </c>
    </row>
    <row r="269" customFormat="false" ht="12.75" hidden="false" customHeight="false" outlineLevel="0" collapsed="false">
      <c r="A269" s="175" t="s">
        <v>67</v>
      </c>
      <c r="B269" s="112" t="s">
        <v>53</v>
      </c>
      <c r="C269" s="109" t="n">
        <f aca="false">C267-C268</f>
        <v>12</v>
      </c>
      <c r="D269" s="109" t="n">
        <f aca="false">D267-D268</f>
        <v>-26</v>
      </c>
      <c r="E269" s="126" t="n">
        <f aca="false">E267-E268</f>
        <v>-1</v>
      </c>
      <c r="F269" s="109" t="n">
        <f aca="false">F267-F268</f>
        <v>5</v>
      </c>
      <c r="G269" s="109" t="n">
        <f aca="false">G267-G268</f>
        <v>-1</v>
      </c>
      <c r="H269" s="109" t="n">
        <f aca="false">H267-H268</f>
        <v>-15</v>
      </c>
      <c r="I269" s="109"/>
      <c r="J269" s="126"/>
      <c r="K269" s="109"/>
      <c r="L269" s="126"/>
      <c r="M269" s="109"/>
      <c r="N269" s="109"/>
      <c r="O269" s="109"/>
      <c r="P269" s="109"/>
      <c r="Q269" s="109"/>
      <c r="R269" s="126"/>
      <c r="S269" s="109" t="n">
        <f aca="false">S267-S268</f>
        <v>-26</v>
      </c>
    </row>
    <row r="270" customFormat="false" ht="13.5" hidden="false" customHeight="false" outlineLevel="0" collapsed="false">
      <c r="A270" s="142"/>
      <c r="B270" s="114" t="s">
        <v>9</v>
      </c>
      <c r="C270" s="117" t="n">
        <f aca="false">C269/C268</f>
        <v>1.33333333333333</v>
      </c>
      <c r="D270" s="117" t="n">
        <f aca="false">D269/D268</f>
        <v>-0.136842105263158</v>
      </c>
      <c r="E270" s="117" t="n">
        <f aca="false">E269/E268</f>
        <v>-0.0434782608695652</v>
      </c>
      <c r="F270" s="117" t="n">
        <f aca="false">F269/F268</f>
        <v>0.555555555555556</v>
      </c>
      <c r="G270" s="117" t="n">
        <f aca="false">G269/G268</f>
        <v>-0.0526315789473684</v>
      </c>
      <c r="H270" s="117" t="n">
        <f aca="false">H269/H268</f>
        <v>-0.5</v>
      </c>
      <c r="I270" s="117"/>
      <c r="J270" s="140"/>
      <c r="K270" s="117"/>
      <c r="L270" s="140"/>
      <c r="M270" s="117"/>
      <c r="N270" s="117"/>
      <c r="O270" s="117"/>
      <c r="P270" s="117"/>
      <c r="Q270" s="117"/>
      <c r="R270" s="140"/>
      <c r="S270" s="117" t="n">
        <f aca="false">S269/S268</f>
        <v>-0.0928571428571429</v>
      </c>
    </row>
    <row r="271" customFormat="false" ht="13.5" hidden="false" customHeight="false" outlineLevel="0" collapsed="false">
      <c r="A271" s="154" t="s">
        <v>130</v>
      </c>
      <c r="B271" s="124"/>
      <c r="C271" s="125"/>
      <c r="D271" s="125"/>
      <c r="E271" s="125"/>
      <c r="F271" s="125"/>
      <c r="G271" s="125"/>
      <c r="H271" s="125"/>
      <c r="I271" s="125"/>
      <c r="J271" s="125"/>
      <c r="K271" s="125"/>
      <c r="L271" s="125"/>
      <c r="M271" s="125"/>
      <c r="N271" s="125"/>
      <c r="O271" s="125"/>
      <c r="P271" s="125"/>
      <c r="Q271" s="125"/>
      <c r="R271" s="125"/>
      <c r="S271" s="125"/>
    </row>
    <row r="272" customFormat="false" ht="23.25" hidden="false" customHeight="false" outlineLevel="0" collapsed="false">
      <c r="A272" s="127"/>
      <c r="B272" s="128"/>
      <c r="C272" s="132" t="s">
        <v>131</v>
      </c>
      <c r="D272" s="131" t="s">
        <v>132</v>
      </c>
      <c r="E272" s="132" t="s">
        <v>133</v>
      </c>
      <c r="F272" s="130" t="s">
        <v>134</v>
      </c>
      <c r="G272" s="129" t="s">
        <v>135</v>
      </c>
      <c r="H272" s="130" t="s">
        <v>136</v>
      </c>
      <c r="I272" s="129" t="s">
        <v>137</v>
      </c>
      <c r="J272" s="130" t="s">
        <v>138</v>
      </c>
      <c r="K272" s="132" t="s">
        <v>139</v>
      </c>
      <c r="L272" s="130" t="s">
        <v>140</v>
      </c>
      <c r="M272" s="185" t="s">
        <v>141</v>
      </c>
      <c r="N272" s="130" t="s">
        <v>142</v>
      </c>
      <c r="O272" s="129" t="s">
        <v>143</v>
      </c>
      <c r="P272" s="132" t="s">
        <v>144</v>
      </c>
      <c r="Q272" s="132" t="s">
        <v>145</v>
      </c>
      <c r="R272" s="132" t="s">
        <v>146</v>
      </c>
      <c r="S272" s="134" t="s">
        <v>51</v>
      </c>
    </row>
    <row r="273" customFormat="false" ht="12.75" hidden="false" customHeight="false" outlineLevel="0" collapsed="false">
      <c r="A273" s="136"/>
      <c r="B273" s="107" t="n">
        <v>2016</v>
      </c>
      <c r="C273" s="109" t="n">
        <f aca="false">C277+C281+C289+C293+C297+C301+C305</f>
        <v>1451</v>
      </c>
      <c r="D273" s="109" t="n">
        <f aca="false">D277+D281+D289+D293+D297+D301+D305</f>
        <v>1041</v>
      </c>
      <c r="E273" s="109" t="n">
        <f aca="false">E277+E281+E289+E293+E297+E301+E305</f>
        <v>638</v>
      </c>
      <c r="F273" s="109" t="n">
        <f aca="false">F277+F281+F289+F293+F297+F301+F305</f>
        <v>128</v>
      </c>
      <c r="G273" s="109" t="n">
        <f aca="false">G277+G281+G289+G293+G297+G301+G305</f>
        <v>239</v>
      </c>
      <c r="H273" s="109" t="n">
        <f aca="false">H277+H281+H289+H293+H297+H301+H305</f>
        <v>187</v>
      </c>
      <c r="I273" s="109" t="n">
        <f aca="false">I277+I281+I289+I293+I297+I301+I305</f>
        <v>650</v>
      </c>
      <c r="J273" s="109" t="n">
        <f aca="false">J277+J281+J289+J293+J297+J301+J305</f>
        <v>486</v>
      </c>
      <c r="K273" s="109" t="n">
        <f aca="false">K277+K281+K289+K293+K297+K301+K305</f>
        <v>362</v>
      </c>
      <c r="L273" s="109" t="n">
        <f aca="false">L277+L281+L289+L293+L297+L301+L305</f>
        <v>153</v>
      </c>
      <c r="M273" s="109" t="n">
        <f aca="false">M277+M281+M289+M293+M297+M301+M305</f>
        <v>89</v>
      </c>
      <c r="N273" s="108" t="n">
        <f aca="false">N277+N281+N289+N293+N297+N301+N305</f>
        <v>303</v>
      </c>
      <c r="O273" s="109" t="n">
        <f aca="false">O277+O281+O289+O293+O297+O301+O305</f>
        <v>403</v>
      </c>
      <c r="P273" s="109" t="n">
        <f aca="false">P277+P281+P289+P293+P297+P301+P305</f>
        <v>592</v>
      </c>
      <c r="Q273" s="109" t="n">
        <f aca="false">Q277+Q281+Q289+Q293+Q297+Q301+Q305</f>
        <v>550</v>
      </c>
      <c r="R273" s="109" t="n">
        <f aca="false">R277+R281+R289+R293+R297+R301+R305</f>
        <v>809</v>
      </c>
      <c r="S273" s="109" t="n">
        <f aca="false">S277+S281+S289+S293+S297+S301+S305</f>
        <v>8081</v>
      </c>
    </row>
    <row r="274" customFormat="false" ht="12.75" hidden="false" customHeight="false" outlineLevel="0" collapsed="false">
      <c r="A274" s="138" t="s">
        <v>52</v>
      </c>
      <c r="B274" s="107" t="n">
        <v>2015</v>
      </c>
      <c r="C274" s="109" t="n">
        <f aca="false">C278+C282+C290+C294+C298+C302+C306</f>
        <v>1483</v>
      </c>
      <c r="D274" s="109" t="n">
        <f aca="false">D278+D282+D290+D294+D298+D302+D306</f>
        <v>1099</v>
      </c>
      <c r="E274" s="109" t="n">
        <f aca="false">E278+E282+E290+E294+E298+E302+E306</f>
        <v>779</v>
      </c>
      <c r="F274" s="109" t="n">
        <f aca="false">F278+F282+F290+F294+F298+F302+F306</f>
        <v>157</v>
      </c>
      <c r="G274" s="171" t="n">
        <f aca="false">G278+G282+G290+G294+G298+G302+G306</f>
        <v>281</v>
      </c>
      <c r="H274" s="171" t="n">
        <f aca="false">H278+H282+H290+H294+H298+H302+H306</f>
        <v>236</v>
      </c>
      <c r="I274" s="109" t="n">
        <f aca="false">I278+I282+I290+I294+I298+I302+I306</f>
        <v>624</v>
      </c>
      <c r="J274" s="109" t="n">
        <f aca="false">J278+J282+J290+J294+J298+J302+J306</f>
        <v>476</v>
      </c>
      <c r="K274" s="109" t="n">
        <f aca="false">K278+K282+K290+K294+K298+K302+K306</f>
        <v>338</v>
      </c>
      <c r="L274" s="109" t="n">
        <f aca="false">L278+L282+L290+L294+L298+L302+L306</f>
        <v>169</v>
      </c>
      <c r="M274" s="109" t="n">
        <f aca="false">M278+M282+M290+M294+M298+M302+M306</f>
        <v>106</v>
      </c>
      <c r="N274" s="108" t="n">
        <f aca="false">N278+N282+N290+N294+N298+N302+N306</f>
        <v>393</v>
      </c>
      <c r="O274" s="109" t="n">
        <f aca="false">O278+O282+O290+O294+O298+O302+O306</f>
        <v>546</v>
      </c>
      <c r="P274" s="109" t="n">
        <f aca="false">P278+P282+P290+P294+P298+P302+P306</f>
        <v>668</v>
      </c>
      <c r="Q274" s="109" t="n">
        <f aca="false">Q278+Q282+Q290+Q294+Q298+Q302+Q306</f>
        <v>730</v>
      </c>
      <c r="R274" s="109" t="n">
        <f aca="false">R278+R282+R290+R294+R298+R302+R306</f>
        <v>890</v>
      </c>
      <c r="S274" s="109" t="n">
        <f aca="false">S278+S282+S290+S294+S298+S302+S306</f>
        <v>8975</v>
      </c>
    </row>
    <row r="275" customFormat="false" ht="12.75" hidden="false" customHeight="false" outlineLevel="0" collapsed="false">
      <c r="A275" s="136"/>
      <c r="B275" s="112" t="s">
        <v>53</v>
      </c>
      <c r="C275" s="109" t="n">
        <f aca="false">C273-C274</f>
        <v>-32</v>
      </c>
      <c r="D275" s="126" t="n">
        <f aca="false">D273-D274</f>
        <v>-58</v>
      </c>
      <c r="E275" s="109" t="n">
        <f aca="false">E273-E274</f>
        <v>-141</v>
      </c>
      <c r="F275" s="126" t="n">
        <f aca="false">F273-F274</f>
        <v>-29</v>
      </c>
      <c r="G275" s="109" t="n">
        <f aca="false">G273-G274</f>
        <v>-42</v>
      </c>
      <c r="H275" s="126" t="n">
        <f aca="false">H273-H274</f>
        <v>-49</v>
      </c>
      <c r="I275" s="109" t="n">
        <f aca="false">I273-I274</f>
        <v>26</v>
      </c>
      <c r="J275" s="126" t="n">
        <f aca="false">J273-J274</f>
        <v>10</v>
      </c>
      <c r="K275" s="109" t="n">
        <f aca="false">K273-K274</f>
        <v>24</v>
      </c>
      <c r="L275" s="126" t="n">
        <f aca="false">L273-L274</f>
        <v>-16</v>
      </c>
      <c r="M275" s="109" t="n">
        <f aca="false">M273-M274</f>
        <v>-17</v>
      </c>
      <c r="N275" s="126" t="n">
        <f aca="false">N273-N274</f>
        <v>-90</v>
      </c>
      <c r="O275" s="109" t="n">
        <f aca="false">O273-O274</f>
        <v>-143</v>
      </c>
      <c r="P275" s="109" t="n">
        <f aca="false">P273-P274</f>
        <v>-76</v>
      </c>
      <c r="Q275" s="109" t="n">
        <f aca="false">Q273-Q274</f>
        <v>-180</v>
      </c>
      <c r="R275" s="109" t="n">
        <f aca="false">R273-R274</f>
        <v>-81</v>
      </c>
      <c r="S275" s="109" t="n">
        <f aca="false">S273-S274</f>
        <v>-894</v>
      </c>
    </row>
    <row r="276" customFormat="false" ht="13.5" hidden="false" customHeight="false" outlineLevel="0" collapsed="false">
      <c r="A276" s="139"/>
      <c r="B276" s="114" t="s">
        <v>9</v>
      </c>
      <c r="C276" s="117" t="n">
        <f aca="false">C275/C274</f>
        <v>-0.021577882670263</v>
      </c>
      <c r="D276" s="140" t="n">
        <f aca="false">D275/D274</f>
        <v>-0.0527752502274795</v>
      </c>
      <c r="E276" s="117" t="n">
        <f aca="false">E275/E274</f>
        <v>-0.181001283697048</v>
      </c>
      <c r="F276" s="140" t="n">
        <f aca="false">F275/F274</f>
        <v>-0.184713375796178</v>
      </c>
      <c r="G276" s="117" t="n">
        <f aca="false">G275/G274</f>
        <v>-0.149466192170819</v>
      </c>
      <c r="H276" s="140" t="n">
        <v>0.02</v>
      </c>
      <c r="I276" s="117" t="n">
        <f aca="false">I275/I274</f>
        <v>0.0416666666666667</v>
      </c>
      <c r="J276" s="140" t="n">
        <f aca="false">J275/J274</f>
        <v>0.0210084033613445</v>
      </c>
      <c r="K276" s="117" t="n">
        <f aca="false">K275/K274</f>
        <v>0.0710059171597633</v>
      </c>
      <c r="L276" s="140" t="n">
        <f aca="false">L275/L274</f>
        <v>-0.0946745562130178</v>
      </c>
      <c r="M276" s="117" t="n">
        <f aca="false">M275/M274</f>
        <v>-0.160377358490566</v>
      </c>
      <c r="N276" s="140" t="n">
        <f aca="false">N275/N274</f>
        <v>-0.229007633587786</v>
      </c>
      <c r="O276" s="117" t="n">
        <f aca="false">O275/O274</f>
        <v>-0.261904761904762</v>
      </c>
      <c r="P276" s="117" t="n">
        <f aca="false">P275/P274</f>
        <v>-0.11377245508982</v>
      </c>
      <c r="Q276" s="117" t="n">
        <f aca="false">Q275/Q274</f>
        <v>-0.246575342465753</v>
      </c>
      <c r="R276" s="186" t="n">
        <f aca="false">R275/R274</f>
        <v>-0.0910112359550562</v>
      </c>
      <c r="S276" s="117" t="n">
        <f aca="false">S275/S274</f>
        <v>-0.0996100278551532</v>
      </c>
    </row>
    <row r="277" customFormat="false" ht="12.75" hidden="false" customHeight="false" outlineLevel="0" collapsed="false">
      <c r="A277" s="136"/>
      <c r="B277" s="107" t="n">
        <v>2016</v>
      </c>
      <c r="C277" s="109" t="n">
        <v>7</v>
      </c>
      <c r="D277" s="126" t="n">
        <v>9</v>
      </c>
      <c r="E277" s="109" t="n">
        <v>3</v>
      </c>
      <c r="F277" s="126" t="n">
        <v>3</v>
      </c>
      <c r="G277" s="109" t="n">
        <v>7</v>
      </c>
      <c r="H277" s="126" t="n">
        <v>2</v>
      </c>
      <c r="I277" s="109" t="n">
        <v>8</v>
      </c>
      <c r="J277" s="126" t="n">
        <v>12</v>
      </c>
      <c r="K277" s="109" t="n">
        <v>3</v>
      </c>
      <c r="L277" s="126" t="n">
        <v>1</v>
      </c>
      <c r="M277" s="109" t="n">
        <v>0</v>
      </c>
      <c r="N277" s="126" t="n">
        <v>7</v>
      </c>
      <c r="O277" s="109" t="n">
        <v>6</v>
      </c>
      <c r="P277" s="109" t="n">
        <v>4</v>
      </c>
      <c r="Q277" s="109" t="n">
        <v>5</v>
      </c>
      <c r="R277" s="109" t="n">
        <v>5</v>
      </c>
      <c r="S277" s="109" t="n">
        <f aca="false">C277+D277+E277+F277+G277+H277+I277+J277+K277+L277+M277+N277+O277+P277+Q277+R277</f>
        <v>82</v>
      </c>
    </row>
    <row r="278" customFormat="false" ht="12.75" hidden="false" customHeight="false" outlineLevel="0" collapsed="false">
      <c r="A278" s="175" t="s">
        <v>54</v>
      </c>
      <c r="B278" s="107" t="n">
        <v>2015</v>
      </c>
      <c r="C278" s="109" t="n">
        <v>8</v>
      </c>
      <c r="D278" s="126" t="n">
        <v>9</v>
      </c>
      <c r="E278" s="109" t="n">
        <v>7</v>
      </c>
      <c r="F278" s="126" t="n">
        <v>2</v>
      </c>
      <c r="G278" s="109" t="n">
        <v>4</v>
      </c>
      <c r="H278" s="126" t="n">
        <v>6</v>
      </c>
      <c r="I278" s="109" t="n">
        <v>13</v>
      </c>
      <c r="J278" s="126" t="n">
        <v>14</v>
      </c>
      <c r="K278" s="109" t="n">
        <v>5</v>
      </c>
      <c r="L278" s="126" t="n">
        <v>2</v>
      </c>
      <c r="M278" s="109" t="n">
        <v>1</v>
      </c>
      <c r="N278" s="126" t="n">
        <v>10</v>
      </c>
      <c r="O278" s="109" t="n">
        <v>6</v>
      </c>
      <c r="P278" s="109" t="n">
        <v>4</v>
      </c>
      <c r="Q278" s="109" t="n">
        <v>3</v>
      </c>
      <c r="R278" s="109" t="n">
        <v>3</v>
      </c>
      <c r="S278" s="109" t="n">
        <f aca="false">C278+D278+E278+F278+G278+H278+I278+J278+K278+L278+M278+N278+O278+P278+Q278+R278</f>
        <v>97</v>
      </c>
    </row>
    <row r="279" customFormat="false" ht="12.75" hidden="false" customHeight="false" outlineLevel="0" collapsed="false">
      <c r="A279" s="175" t="s">
        <v>55</v>
      </c>
      <c r="B279" s="112" t="s">
        <v>53</v>
      </c>
      <c r="C279" s="109" t="n">
        <f aca="false">C277-C278</f>
        <v>-1</v>
      </c>
      <c r="D279" s="126" t="n">
        <f aca="false">D277-D278</f>
        <v>0</v>
      </c>
      <c r="E279" s="109" t="n">
        <f aca="false">E277-E278</f>
        <v>-4</v>
      </c>
      <c r="F279" s="126" t="n">
        <f aca="false">F277-F278</f>
        <v>1</v>
      </c>
      <c r="G279" s="109" t="n">
        <f aca="false">G277-G278</f>
        <v>3</v>
      </c>
      <c r="H279" s="126" t="n">
        <f aca="false">H277-H278</f>
        <v>-4</v>
      </c>
      <c r="I279" s="109" t="n">
        <f aca="false">I277-I278</f>
        <v>-5</v>
      </c>
      <c r="J279" s="126" t="n">
        <f aca="false">J277-J278</f>
        <v>-2</v>
      </c>
      <c r="K279" s="109" t="n">
        <f aca="false">K277-K278</f>
        <v>-2</v>
      </c>
      <c r="L279" s="126" t="n">
        <f aca="false">L277-L278</f>
        <v>-1</v>
      </c>
      <c r="M279" s="109" t="n">
        <f aca="false">M277-M278</f>
        <v>-1</v>
      </c>
      <c r="N279" s="126" t="n">
        <f aca="false">N277-N278</f>
        <v>-3</v>
      </c>
      <c r="O279" s="109" t="n">
        <f aca="false">O277-O278</f>
        <v>0</v>
      </c>
      <c r="P279" s="109" t="n">
        <f aca="false">P277-P278</f>
        <v>0</v>
      </c>
      <c r="Q279" s="109" t="n">
        <f aca="false">Q277-Q278</f>
        <v>2</v>
      </c>
      <c r="R279" s="109" t="n">
        <f aca="false">R277-R278</f>
        <v>2</v>
      </c>
      <c r="S279" s="109" t="n">
        <f aca="false">S277-S278</f>
        <v>-15</v>
      </c>
    </row>
    <row r="280" customFormat="false" ht="13.5" hidden="false" customHeight="false" outlineLevel="0" collapsed="false">
      <c r="A280" s="142"/>
      <c r="B280" s="114" t="s">
        <v>9</v>
      </c>
      <c r="C280" s="117" t="n">
        <f aca="false">C279/C278</f>
        <v>-0.125</v>
      </c>
      <c r="D280" s="117" t="n">
        <f aca="false">D279/D278</f>
        <v>0</v>
      </c>
      <c r="E280" s="117" t="n">
        <f aca="false">E279/E278</f>
        <v>-0.571428571428571</v>
      </c>
      <c r="F280" s="117" t="n">
        <f aca="false">F279/F278</f>
        <v>0.5</v>
      </c>
      <c r="G280" s="117" t="n">
        <f aca="false">G279/G278</f>
        <v>0.75</v>
      </c>
      <c r="H280" s="117" t="n">
        <f aca="false">H279/H278</f>
        <v>-0.666666666666667</v>
      </c>
      <c r="I280" s="117" t="n">
        <f aca="false">I279/I278</f>
        <v>-0.384615384615385</v>
      </c>
      <c r="J280" s="117" t="n">
        <f aca="false">J279/J278</f>
        <v>-0.142857142857143</v>
      </c>
      <c r="K280" s="117" t="n">
        <f aca="false">K279/K278</f>
        <v>-0.4</v>
      </c>
      <c r="L280" s="117" t="n">
        <f aca="false">L279/L278</f>
        <v>-0.5</v>
      </c>
      <c r="M280" s="117" t="n">
        <f aca="false">M279/M278</f>
        <v>-1</v>
      </c>
      <c r="N280" s="117" t="n">
        <f aca="false">N279/N278</f>
        <v>-0.3</v>
      </c>
      <c r="O280" s="117" t="n">
        <f aca="false">O279/O278</f>
        <v>0</v>
      </c>
      <c r="P280" s="117" t="n">
        <f aca="false">P279/P278</f>
        <v>0</v>
      </c>
      <c r="Q280" s="117" t="n">
        <f aca="false">Q279/Q278</f>
        <v>0.666666666666667</v>
      </c>
      <c r="R280" s="117" t="n">
        <f aca="false">R279/R278</f>
        <v>0.666666666666667</v>
      </c>
      <c r="S280" s="117" t="n">
        <f aca="false">S279/S278</f>
        <v>-0.154639175257732</v>
      </c>
    </row>
    <row r="281" customFormat="false" ht="12.75" hidden="false" customHeight="false" outlineLevel="0" collapsed="false">
      <c r="A281" s="144"/>
      <c r="B281" s="107" t="n">
        <v>2016</v>
      </c>
      <c r="C281" s="109" t="n">
        <v>4</v>
      </c>
      <c r="D281" s="126" t="n">
        <v>2</v>
      </c>
      <c r="E281" s="109" t="n">
        <v>4</v>
      </c>
      <c r="F281" s="126" t="n">
        <v>1</v>
      </c>
      <c r="G281" s="109" t="n">
        <v>3</v>
      </c>
      <c r="H281" s="126" t="n">
        <v>1</v>
      </c>
      <c r="I281" s="109" t="n">
        <v>3</v>
      </c>
      <c r="J281" s="126" t="n">
        <v>2</v>
      </c>
      <c r="K281" s="109" t="n">
        <v>0</v>
      </c>
      <c r="L281" s="126" t="n">
        <v>0</v>
      </c>
      <c r="M281" s="109" t="n">
        <v>1</v>
      </c>
      <c r="N281" s="126" t="n">
        <v>2</v>
      </c>
      <c r="O281" s="109" t="n">
        <v>3</v>
      </c>
      <c r="P281" s="109" t="n">
        <v>2</v>
      </c>
      <c r="Q281" s="109" t="n">
        <v>2</v>
      </c>
      <c r="R281" s="109" t="n">
        <v>3</v>
      </c>
      <c r="S281" s="109" t="n">
        <f aca="false">C281+D281+E281+F281+G281+H281+I281+J281+K281+L281+M281+N281+O281+P281+Q281+R281</f>
        <v>33</v>
      </c>
    </row>
    <row r="282" customFormat="false" ht="12.75" hidden="false" customHeight="false" outlineLevel="0" collapsed="false">
      <c r="A282" s="175" t="s">
        <v>56</v>
      </c>
      <c r="B282" s="107" t="n">
        <v>2015</v>
      </c>
      <c r="C282" s="109" t="n">
        <v>2</v>
      </c>
      <c r="D282" s="126" t="n">
        <v>3</v>
      </c>
      <c r="E282" s="109" t="n">
        <v>3</v>
      </c>
      <c r="F282" s="126" t="n">
        <v>0</v>
      </c>
      <c r="G282" s="109" t="n">
        <v>0</v>
      </c>
      <c r="H282" s="126" t="n">
        <v>2</v>
      </c>
      <c r="I282" s="109" t="n">
        <v>2</v>
      </c>
      <c r="J282" s="126" t="n">
        <v>1</v>
      </c>
      <c r="K282" s="109" t="n">
        <v>2</v>
      </c>
      <c r="L282" s="126" t="n">
        <v>0</v>
      </c>
      <c r="M282" s="109" t="n">
        <v>0</v>
      </c>
      <c r="N282" s="126" t="n">
        <v>0</v>
      </c>
      <c r="O282" s="109" t="n">
        <v>4</v>
      </c>
      <c r="P282" s="109" t="n">
        <v>6</v>
      </c>
      <c r="Q282" s="109" t="n">
        <v>3</v>
      </c>
      <c r="R282" s="109" t="n">
        <v>10</v>
      </c>
      <c r="S282" s="109" t="n">
        <f aca="false">C282+D282+E282+F282+G282+H282+I282+J282+K282+L282+M282+N282+O282+P282+Q282+R282</f>
        <v>38</v>
      </c>
    </row>
    <row r="283" customFormat="false" ht="12.75" hidden="false" customHeight="false" outlineLevel="0" collapsed="false">
      <c r="A283" s="175" t="s">
        <v>57</v>
      </c>
      <c r="B283" s="112" t="s">
        <v>53</v>
      </c>
      <c r="C283" s="109" t="n">
        <f aca="false">C281-C282</f>
        <v>2</v>
      </c>
      <c r="D283" s="126" t="n">
        <f aca="false">D281-D282</f>
        <v>-1</v>
      </c>
      <c r="E283" s="109" t="n">
        <f aca="false">E281-E282</f>
        <v>1</v>
      </c>
      <c r="F283" s="126" t="n">
        <f aca="false">F281-F282</f>
        <v>1</v>
      </c>
      <c r="G283" s="109" t="n">
        <f aca="false">G281-G282</f>
        <v>3</v>
      </c>
      <c r="H283" s="126" t="n">
        <f aca="false">H281-H282</f>
        <v>-1</v>
      </c>
      <c r="I283" s="109" t="n">
        <f aca="false">I281-I282</f>
        <v>1</v>
      </c>
      <c r="J283" s="126" t="n">
        <f aca="false">J281-J282</f>
        <v>1</v>
      </c>
      <c r="K283" s="109" t="n">
        <f aca="false">K281-K282</f>
        <v>-2</v>
      </c>
      <c r="L283" s="126" t="n">
        <f aca="false">L281-L282</f>
        <v>0</v>
      </c>
      <c r="M283" s="109" t="n">
        <f aca="false">M281-M282</f>
        <v>1</v>
      </c>
      <c r="N283" s="126" t="n">
        <f aca="false">N281-N282</f>
        <v>2</v>
      </c>
      <c r="O283" s="109" t="n">
        <f aca="false">O281-O282</f>
        <v>-1</v>
      </c>
      <c r="P283" s="109" t="n">
        <f aca="false">P281-P282</f>
        <v>-4</v>
      </c>
      <c r="Q283" s="109" t="n">
        <f aca="false">Q281-Q282</f>
        <v>-1</v>
      </c>
      <c r="R283" s="109" t="n">
        <f aca="false">R281-R282</f>
        <v>-7</v>
      </c>
      <c r="S283" s="109" t="n">
        <f aca="false">S281-S282</f>
        <v>-5</v>
      </c>
    </row>
    <row r="284" customFormat="false" ht="13.5" hidden="false" customHeight="false" outlineLevel="0" collapsed="false">
      <c r="A284" s="142"/>
      <c r="B284" s="114" t="s">
        <v>9</v>
      </c>
      <c r="C284" s="117" t="n">
        <f aca="false">C283/C282</f>
        <v>1</v>
      </c>
      <c r="D284" s="117" t="n">
        <f aca="false">D283/D282</f>
        <v>-0.333333333333333</v>
      </c>
      <c r="E284" s="117" t="n">
        <f aca="false">E283/E282</f>
        <v>0.333333333333333</v>
      </c>
      <c r="F284" s="117" t="n">
        <v>0</v>
      </c>
      <c r="G284" s="117" t="n">
        <v>0</v>
      </c>
      <c r="H284" s="117" t="n">
        <f aca="false">H283/H282</f>
        <v>-0.5</v>
      </c>
      <c r="I284" s="117" t="n">
        <f aca="false">I283/I282</f>
        <v>0.5</v>
      </c>
      <c r="J284" s="117" t="n">
        <f aca="false">J283/J282</f>
        <v>1</v>
      </c>
      <c r="K284" s="117" t="n">
        <f aca="false">K283/K282</f>
        <v>-1</v>
      </c>
      <c r="L284" s="117" t="n">
        <v>0</v>
      </c>
      <c r="M284" s="117" t="n">
        <v>0</v>
      </c>
      <c r="N284" s="117" t="n">
        <v>0</v>
      </c>
      <c r="O284" s="117" t="n">
        <f aca="false">O283/O282</f>
        <v>-0.25</v>
      </c>
      <c r="P284" s="117" t="n">
        <f aca="false">P283/P282</f>
        <v>-0.666666666666667</v>
      </c>
      <c r="Q284" s="117" t="n">
        <f aca="false">Q283/Q282</f>
        <v>-0.333333333333333</v>
      </c>
      <c r="R284" s="117" t="n">
        <f aca="false">R283/R282</f>
        <v>-0.7</v>
      </c>
      <c r="S284" s="117" t="n">
        <f aca="false">S283/S282</f>
        <v>-0.131578947368421</v>
      </c>
    </row>
    <row r="285" customFormat="false" ht="12.75" hidden="false" customHeight="false" outlineLevel="0" collapsed="false">
      <c r="A285" s="144"/>
      <c r="B285" s="107" t="n">
        <v>2016</v>
      </c>
      <c r="C285" s="109" t="n">
        <v>0</v>
      </c>
      <c r="D285" s="126" t="n">
        <v>0</v>
      </c>
      <c r="E285" s="109" t="n">
        <v>0</v>
      </c>
      <c r="F285" s="126" t="n">
        <v>0</v>
      </c>
      <c r="G285" s="109" t="n">
        <v>0</v>
      </c>
      <c r="H285" s="126" t="n">
        <v>0</v>
      </c>
      <c r="I285" s="109" t="n">
        <v>0</v>
      </c>
      <c r="J285" s="126" t="n">
        <v>0</v>
      </c>
      <c r="K285" s="109" t="n">
        <v>0</v>
      </c>
      <c r="L285" s="126" t="n">
        <v>0</v>
      </c>
      <c r="M285" s="109" t="n">
        <v>0</v>
      </c>
      <c r="N285" s="126" t="n">
        <v>0</v>
      </c>
      <c r="O285" s="109" t="n">
        <v>0</v>
      </c>
      <c r="P285" s="109" t="n">
        <v>0</v>
      </c>
      <c r="Q285" s="109" t="n">
        <v>0</v>
      </c>
      <c r="R285" s="109" t="n">
        <v>0</v>
      </c>
      <c r="S285" s="109" t="n">
        <f aca="false">C285+D285+E285+F285+G285+H285+I285+J285+K285+L285+M285+N285+O285+P285+Q285+R285</f>
        <v>0</v>
      </c>
    </row>
    <row r="286" customFormat="false" ht="12.75" hidden="false" customHeight="false" outlineLevel="0" collapsed="false">
      <c r="A286" s="175" t="s">
        <v>58</v>
      </c>
      <c r="B286" s="107" t="n">
        <v>2015</v>
      </c>
      <c r="C286" s="109" t="n">
        <v>0</v>
      </c>
      <c r="D286" s="126" t="n">
        <v>0</v>
      </c>
      <c r="E286" s="109" t="n">
        <v>0</v>
      </c>
      <c r="F286" s="126" t="n">
        <v>0</v>
      </c>
      <c r="G286" s="109" t="n">
        <v>0</v>
      </c>
      <c r="H286" s="126" t="n">
        <v>0</v>
      </c>
      <c r="I286" s="109" t="n">
        <v>0</v>
      </c>
      <c r="J286" s="126" t="n">
        <v>0</v>
      </c>
      <c r="K286" s="109" t="n">
        <v>0</v>
      </c>
      <c r="L286" s="126" t="n">
        <v>0</v>
      </c>
      <c r="M286" s="109" t="n">
        <v>0</v>
      </c>
      <c r="N286" s="126" t="n">
        <v>0</v>
      </c>
      <c r="O286" s="109" t="n">
        <v>0</v>
      </c>
      <c r="P286" s="109" t="n">
        <v>0</v>
      </c>
      <c r="Q286" s="109" t="n">
        <v>0</v>
      </c>
      <c r="R286" s="109" t="n">
        <v>0</v>
      </c>
      <c r="S286" s="109" t="n">
        <f aca="false">C286+D286+E286+F286+G286+H286+I286+J286+K286+L286+M286+N286+O286+P286+Q286+R286</f>
        <v>0</v>
      </c>
    </row>
    <row r="287" customFormat="false" ht="12.75" hidden="false" customHeight="false" outlineLevel="0" collapsed="false">
      <c r="A287" s="138" t="s">
        <v>59</v>
      </c>
      <c r="B287" s="112" t="s">
        <v>53</v>
      </c>
      <c r="C287" s="109" t="n">
        <f aca="false">C285-C286</f>
        <v>0</v>
      </c>
      <c r="D287" s="109" t="n">
        <f aca="false">D285-D286</f>
        <v>0</v>
      </c>
      <c r="E287" s="109" t="n">
        <f aca="false">E285-E286</f>
        <v>0</v>
      </c>
      <c r="F287" s="109" t="n">
        <f aca="false">F285-F286</f>
        <v>0</v>
      </c>
      <c r="G287" s="109" t="n">
        <f aca="false">G285-G286</f>
        <v>0</v>
      </c>
      <c r="H287" s="109" t="n">
        <f aca="false">H285-H286</f>
        <v>0</v>
      </c>
      <c r="I287" s="109" t="n">
        <f aca="false">I285-I286</f>
        <v>0</v>
      </c>
      <c r="J287" s="109" t="n">
        <f aca="false">J285-J286</f>
        <v>0</v>
      </c>
      <c r="K287" s="109" t="n">
        <f aca="false">K285-K286</f>
        <v>0</v>
      </c>
      <c r="L287" s="109" t="n">
        <f aca="false">L285-L286</f>
        <v>0</v>
      </c>
      <c r="M287" s="109" t="n">
        <f aca="false">M285-M286</f>
        <v>0</v>
      </c>
      <c r="N287" s="109" t="n">
        <f aca="false">N285-N286</f>
        <v>0</v>
      </c>
      <c r="O287" s="109" t="n">
        <f aca="false">O285-O286</f>
        <v>0</v>
      </c>
      <c r="P287" s="109" t="n">
        <f aca="false">P285-P286</f>
        <v>0</v>
      </c>
      <c r="Q287" s="109" t="n">
        <f aca="false">Q285-Q286</f>
        <v>0</v>
      </c>
      <c r="R287" s="109" t="n">
        <f aca="false">R285-R286</f>
        <v>0</v>
      </c>
      <c r="S287" s="109" t="n">
        <f aca="false">S285-S286</f>
        <v>0</v>
      </c>
    </row>
    <row r="288" customFormat="false" ht="13.5" hidden="false" customHeight="false" outlineLevel="0" collapsed="false">
      <c r="A288" s="142"/>
      <c r="B288" s="114" t="s">
        <v>9</v>
      </c>
      <c r="C288" s="117" t="n">
        <v>0</v>
      </c>
      <c r="D288" s="117" t="n">
        <v>0</v>
      </c>
      <c r="E288" s="117" t="n">
        <v>0</v>
      </c>
      <c r="F288" s="117" t="n">
        <v>0</v>
      </c>
      <c r="G288" s="143" t="n">
        <v>0</v>
      </c>
      <c r="H288" s="117" t="n">
        <v>0</v>
      </c>
      <c r="I288" s="117" t="n">
        <v>0</v>
      </c>
      <c r="J288" s="140" t="n">
        <v>0</v>
      </c>
      <c r="K288" s="117" t="n">
        <v>0</v>
      </c>
      <c r="L288" s="117" t="n">
        <v>0</v>
      </c>
      <c r="M288" s="117" t="n">
        <v>0</v>
      </c>
      <c r="N288" s="140" t="n">
        <v>0</v>
      </c>
      <c r="O288" s="117" t="n">
        <v>0</v>
      </c>
      <c r="P288" s="117" t="n">
        <v>0</v>
      </c>
      <c r="Q288" s="117" t="n">
        <v>0</v>
      </c>
      <c r="R288" s="187" t="n">
        <v>0</v>
      </c>
      <c r="S288" s="117" t="n">
        <v>0</v>
      </c>
    </row>
    <row r="289" customFormat="false" ht="12.75" hidden="false" customHeight="false" outlineLevel="0" collapsed="false">
      <c r="A289" s="144"/>
      <c r="B289" s="107" t="n">
        <v>2016</v>
      </c>
      <c r="C289" s="109" t="n">
        <v>85</v>
      </c>
      <c r="D289" s="126" t="n">
        <v>104</v>
      </c>
      <c r="E289" s="109" t="n">
        <v>74</v>
      </c>
      <c r="F289" s="126" t="n">
        <v>7</v>
      </c>
      <c r="G289" s="109" t="n">
        <v>18</v>
      </c>
      <c r="H289" s="126" t="n">
        <v>17</v>
      </c>
      <c r="I289" s="109" t="n">
        <v>44</v>
      </c>
      <c r="J289" s="126" t="n">
        <v>37</v>
      </c>
      <c r="K289" s="109" t="n">
        <v>27</v>
      </c>
      <c r="L289" s="126" t="n">
        <v>10</v>
      </c>
      <c r="M289" s="109" t="n">
        <v>2</v>
      </c>
      <c r="N289" s="126" t="n">
        <v>25</v>
      </c>
      <c r="O289" s="109" t="n">
        <v>25</v>
      </c>
      <c r="P289" s="109" t="n">
        <v>79</v>
      </c>
      <c r="Q289" s="109" t="n">
        <v>36</v>
      </c>
      <c r="R289" s="109" t="n">
        <v>69</v>
      </c>
      <c r="S289" s="109" t="n">
        <f aca="false">C289+D289+E289+F289+G289+H289+I289+J289+K289+L289+M289+N289+O289+P289+Q289+R289</f>
        <v>659</v>
      </c>
    </row>
    <row r="290" customFormat="false" ht="12.75" hidden="false" customHeight="false" outlineLevel="0" collapsed="false">
      <c r="A290" s="175" t="s">
        <v>60</v>
      </c>
      <c r="B290" s="107" t="n">
        <v>2015</v>
      </c>
      <c r="C290" s="109" t="n">
        <v>122</v>
      </c>
      <c r="D290" s="126" t="n">
        <v>110</v>
      </c>
      <c r="E290" s="109" t="n">
        <v>75</v>
      </c>
      <c r="F290" s="126" t="n">
        <v>31</v>
      </c>
      <c r="G290" s="109" t="n">
        <v>41</v>
      </c>
      <c r="H290" s="126" t="n">
        <v>14</v>
      </c>
      <c r="I290" s="109" t="n">
        <v>51</v>
      </c>
      <c r="J290" s="126" t="n">
        <v>65</v>
      </c>
      <c r="K290" s="109" t="n">
        <v>27</v>
      </c>
      <c r="L290" s="126" t="n">
        <v>17</v>
      </c>
      <c r="M290" s="109" t="n">
        <v>3</v>
      </c>
      <c r="N290" s="126" t="n">
        <v>37</v>
      </c>
      <c r="O290" s="109" t="n">
        <v>38</v>
      </c>
      <c r="P290" s="109" t="n">
        <v>82</v>
      </c>
      <c r="Q290" s="109" t="n">
        <v>41</v>
      </c>
      <c r="R290" s="109" t="n">
        <v>85</v>
      </c>
      <c r="S290" s="109" t="n">
        <f aca="false">C290+D290+E290+F290+G290+H290+I290+J290+K290+L290+M290+N290+O290+P290+Q290+R290</f>
        <v>839</v>
      </c>
    </row>
    <row r="291" customFormat="false" ht="12.75" hidden="false" customHeight="false" outlineLevel="0" collapsed="false">
      <c r="A291" s="144"/>
      <c r="B291" s="112" t="s">
        <v>53</v>
      </c>
      <c r="C291" s="109" t="n">
        <f aca="false">C289-C290</f>
        <v>-37</v>
      </c>
      <c r="D291" s="109" t="n">
        <f aca="false">D289-D290</f>
        <v>-6</v>
      </c>
      <c r="E291" s="109" t="n">
        <f aca="false">E289-E290</f>
        <v>-1</v>
      </c>
      <c r="F291" s="109" t="n">
        <f aca="false">F289-F290</f>
        <v>-24</v>
      </c>
      <c r="G291" s="109" t="n">
        <f aca="false">G289-G290</f>
        <v>-23</v>
      </c>
      <c r="H291" s="109" t="n">
        <f aca="false">H289-H290</f>
        <v>3</v>
      </c>
      <c r="I291" s="109" t="n">
        <f aca="false">I289-I290</f>
        <v>-7</v>
      </c>
      <c r="J291" s="109" t="n">
        <f aca="false">J289-J290</f>
        <v>-28</v>
      </c>
      <c r="K291" s="109" t="n">
        <f aca="false">K289-K290</f>
        <v>0</v>
      </c>
      <c r="L291" s="109" t="n">
        <f aca="false">L289-L290</f>
        <v>-7</v>
      </c>
      <c r="M291" s="109" t="n">
        <f aca="false">M289-M290</f>
        <v>-1</v>
      </c>
      <c r="N291" s="109" t="n">
        <f aca="false">N289-N290</f>
        <v>-12</v>
      </c>
      <c r="O291" s="109" t="n">
        <f aca="false">O289-O290</f>
        <v>-13</v>
      </c>
      <c r="P291" s="109" t="n">
        <f aca="false">P289-P290</f>
        <v>-3</v>
      </c>
      <c r="Q291" s="109" t="n">
        <f aca="false">Q289-Q290</f>
        <v>-5</v>
      </c>
      <c r="R291" s="109" t="n">
        <f aca="false">R289-R290</f>
        <v>-16</v>
      </c>
      <c r="S291" s="109" t="n">
        <f aca="false">S289-S290</f>
        <v>-180</v>
      </c>
    </row>
    <row r="292" customFormat="false" ht="13.5" hidden="false" customHeight="false" outlineLevel="0" collapsed="false">
      <c r="A292" s="142"/>
      <c r="B292" s="114" t="s">
        <v>9</v>
      </c>
      <c r="C292" s="117" t="n">
        <f aca="false">C291/C290</f>
        <v>-0.30327868852459</v>
      </c>
      <c r="D292" s="117" t="n">
        <f aca="false">D291/D290</f>
        <v>-0.0545454545454545</v>
      </c>
      <c r="E292" s="117" t="n">
        <f aca="false">E291/E290</f>
        <v>-0.0133333333333333</v>
      </c>
      <c r="F292" s="117" t="n">
        <f aca="false">F291/F290</f>
        <v>-0.774193548387097</v>
      </c>
      <c r="G292" s="117" t="n">
        <f aca="false">G291/G290</f>
        <v>-0.560975609756098</v>
      </c>
      <c r="H292" s="117" t="n">
        <f aca="false">H291/H290</f>
        <v>0.214285714285714</v>
      </c>
      <c r="I292" s="117" t="n">
        <f aca="false">I291/I290</f>
        <v>-0.137254901960784</v>
      </c>
      <c r="J292" s="117" t="n">
        <f aca="false">J291/J290</f>
        <v>-0.430769230769231</v>
      </c>
      <c r="K292" s="117" t="n">
        <f aca="false">K291/K290</f>
        <v>0</v>
      </c>
      <c r="L292" s="117" t="n">
        <f aca="false">L291/L290</f>
        <v>-0.411764705882353</v>
      </c>
      <c r="M292" s="117" t="n">
        <f aca="false">M291/M290</f>
        <v>-0.333333333333333</v>
      </c>
      <c r="N292" s="117" t="n">
        <f aca="false">N291/N290</f>
        <v>-0.324324324324324</v>
      </c>
      <c r="O292" s="117" t="n">
        <f aca="false">O291/O290</f>
        <v>-0.342105263157895</v>
      </c>
      <c r="P292" s="117" t="n">
        <f aca="false">P291/P290</f>
        <v>-0.0365853658536585</v>
      </c>
      <c r="Q292" s="117" t="n">
        <f aca="false">Q291/Q290</f>
        <v>-0.121951219512195</v>
      </c>
      <c r="R292" s="117" t="n">
        <f aca="false">R291/R290</f>
        <v>-0.188235294117647</v>
      </c>
      <c r="S292" s="117" t="n">
        <f aca="false">S291/S290</f>
        <v>-0.214541120381406</v>
      </c>
    </row>
    <row r="293" customFormat="false" ht="12.75" hidden="false" customHeight="false" outlineLevel="0" collapsed="false">
      <c r="A293" s="144"/>
      <c r="B293" s="107" t="n">
        <v>2016</v>
      </c>
      <c r="C293" s="109" t="n">
        <v>31</v>
      </c>
      <c r="D293" s="126" t="n">
        <v>31</v>
      </c>
      <c r="E293" s="109" t="n">
        <v>34</v>
      </c>
      <c r="F293" s="126" t="n">
        <v>9</v>
      </c>
      <c r="G293" s="109" t="n">
        <v>15</v>
      </c>
      <c r="H293" s="126" t="n">
        <v>7</v>
      </c>
      <c r="I293" s="109" t="n">
        <v>31</v>
      </c>
      <c r="J293" s="126" t="n">
        <v>26</v>
      </c>
      <c r="K293" s="109" t="n">
        <v>18</v>
      </c>
      <c r="L293" s="126" t="n">
        <v>7</v>
      </c>
      <c r="M293" s="109" t="n">
        <v>2</v>
      </c>
      <c r="N293" s="126" t="n">
        <v>16</v>
      </c>
      <c r="O293" s="109" t="n">
        <v>25</v>
      </c>
      <c r="P293" s="109" t="n">
        <v>24</v>
      </c>
      <c r="Q293" s="109" t="n">
        <v>31</v>
      </c>
      <c r="R293" s="109" t="n">
        <v>34</v>
      </c>
      <c r="S293" s="109" t="n">
        <f aca="false">C293+D293+E293+F293+G293+H293+I293+J293+K293+L293+M293+N293+O293+P293+Q293+R293</f>
        <v>341</v>
      </c>
    </row>
    <row r="294" customFormat="false" ht="12.75" hidden="false" customHeight="false" outlineLevel="0" collapsed="false">
      <c r="A294" s="175" t="s">
        <v>61</v>
      </c>
      <c r="B294" s="107" t="n">
        <v>2015</v>
      </c>
      <c r="C294" s="109" t="n">
        <v>37</v>
      </c>
      <c r="D294" s="126" t="n">
        <v>22</v>
      </c>
      <c r="E294" s="109" t="n">
        <v>16</v>
      </c>
      <c r="F294" s="126" t="n">
        <v>4</v>
      </c>
      <c r="G294" s="109" t="n">
        <v>9</v>
      </c>
      <c r="H294" s="126" t="n">
        <v>11</v>
      </c>
      <c r="I294" s="109" t="n">
        <v>18</v>
      </c>
      <c r="J294" s="126" t="n">
        <v>22</v>
      </c>
      <c r="K294" s="109" t="n">
        <v>10</v>
      </c>
      <c r="L294" s="126" t="n">
        <v>8</v>
      </c>
      <c r="M294" s="109" t="n">
        <v>5</v>
      </c>
      <c r="N294" s="126" t="n">
        <v>15</v>
      </c>
      <c r="O294" s="109" t="n">
        <v>15</v>
      </c>
      <c r="P294" s="109" t="n">
        <v>12</v>
      </c>
      <c r="Q294" s="109" t="n">
        <v>29</v>
      </c>
      <c r="R294" s="109" t="n">
        <v>17</v>
      </c>
      <c r="S294" s="109" t="n">
        <f aca="false">C294+D294+E294+F294+G294+H294+I294+J294+K294+L294+M294+N294+O294+P294+Q294+R294</f>
        <v>250</v>
      </c>
    </row>
    <row r="295" customFormat="false" ht="12.75" hidden="false" customHeight="false" outlineLevel="0" collapsed="false">
      <c r="A295" s="175" t="s">
        <v>62</v>
      </c>
      <c r="B295" s="112" t="s">
        <v>53</v>
      </c>
      <c r="C295" s="109" t="n">
        <f aca="false">C293-C294</f>
        <v>-6</v>
      </c>
      <c r="D295" s="126" t="n">
        <f aca="false">D293-D294</f>
        <v>9</v>
      </c>
      <c r="E295" s="109" t="n">
        <f aca="false">E293-E294</f>
        <v>18</v>
      </c>
      <c r="F295" s="126" t="n">
        <f aca="false">F293-F294</f>
        <v>5</v>
      </c>
      <c r="G295" s="109" t="n">
        <f aca="false">G293-G294</f>
        <v>6</v>
      </c>
      <c r="H295" s="126" t="n">
        <f aca="false">H293-H294</f>
        <v>-4</v>
      </c>
      <c r="I295" s="109" t="n">
        <f aca="false">I293-I294</f>
        <v>13</v>
      </c>
      <c r="J295" s="126" t="n">
        <f aca="false">J293-J294</f>
        <v>4</v>
      </c>
      <c r="K295" s="109" t="n">
        <f aca="false">K293-K294</f>
        <v>8</v>
      </c>
      <c r="L295" s="126" t="n">
        <f aca="false">L293-L294</f>
        <v>-1</v>
      </c>
      <c r="M295" s="109" t="n">
        <f aca="false">M293-M294</f>
        <v>-3</v>
      </c>
      <c r="N295" s="126" t="n">
        <f aca="false">N293-N294</f>
        <v>1</v>
      </c>
      <c r="O295" s="109" t="n">
        <f aca="false">O293-O294</f>
        <v>10</v>
      </c>
      <c r="P295" s="109" t="n">
        <f aca="false">P293-P294</f>
        <v>12</v>
      </c>
      <c r="Q295" s="109" t="n">
        <f aca="false">Q293-Q294</f>
        <v>2</v>
      </c>
      <c r="R295" s="109" t="n">
        <f aca="false">R293-R294</f>
        <v>17</v>
      </c>
      <c r="S295" s="109" t="n">
        <f aca="false">S293-S294</f>
        <v>91</v>
      </c>
    </row>
    <row r="296" customFormat="false" ht="13.5" hidden="false" customHeight="false" outlineLevel="0" collapsed="false">
      <c r="A296" s="142"/>
      <c r="B296" s="114" t="s">
        <v>9</v>
      </c>
      <c r="C296" s="117" t="n">
        <f aca="false">C295/C294</f>
        <v>-0.162162162162162</v>
      </c>
      <c r="D296" s="117" t="n">
        <f aca="false">D295/D294</f>
        <v>0.409090909090909</v>
      </c>
      <c r="E296" s="117" t="n">
        <f aca="false">E295/E294</f>
        <v>1.125</v>
      </c>
      <c r="F296" s="117" t="n">
        <f aca="false">F295/F294</f>
        <v>1.25</v>
      </c>
      <c r="G296" s="117" t="n">
        <f aca="false">G295/G294</f>
        <v>0.666666666666667</v>
      </c>
      <c r="H296" s="140" t="n">
        <f aca="false">H295/H294</f>
        <v>-0.363636363636364</v>
      </c>
      <c r="I296" s="117" t="n">
        <f aca="false">I295/I294</f>
        <v>0.722222222222222</v>
      </c>
      <c r="J296" s="117" t="n">
        <f aca="false">J295/J294</f>
        <v>0.181818181818182</v>
      </c>
      <c r="K296" s="117" t="n">
        <f aca="false">K295/K294</f>
        <v>0.8</v>
      </c>
      <c r="L296" s="117" t="n">
        <f aca="false">L295/L294</f>
        <v>-0.125</v>
      </c>
      <c r="M296" s="117" t="n">
        <f aca="false">M295/M294</f>
        <v>-0.6</v>
      </c>
      <c r="N296" s="117" t="n">
        <f aca="false">N295/N294</f>
        <v>0.0666666666666667</v>
      </c>
      <c r="O296" s="117" t="n">
        <f aca="false">O295/O294</f>
        <v>0.666666666666667</v>
      </c>
      <c r="P296" s="117" t="n">
        <f aca="false">P295/P294</f>
        <v>1</v>
      </c>
      <c r="Q296" s="117" t="n">
        <v>0</v>
      </c>
      <c r="R296" s="117" t="n">
        <f aca="false">R295/R294</f>
        <v>1</v>
      </c>
      <c r="S296" s="117" t="n">
        <f aca="false">S295/S294</f>
        <v>0.364</v>
      </c>
    </row>
    <row r="297" customFormat="false" ht="12.75" hidden="false" customHeight="false" outlineLevel="0" collapsed="false">
      <c r="A297" s="144"/>
      <c r="B297" s="107" t="n">
        <v>2016</v>
      </c>
      <c r="C297" s="109" t="n">
        <v>110</v>
      </c>
      <c r="D297" s="126" t="n">
        <v>176</v>
      </c>
      <c r="E297" s="109" t="n">
        <v>92</v>
      </c>
      <c r="F297" s="126" t="n">
        <v>55</v>
      </c>
      <c r="G297" s="109" t="n">
        <v>55</v>
      </c>
      <c r="H297" s="126" t="n">
        <v>43</v>
      </c>
      <c r="I297" s="109" t="n">
        <v>119</v>
      </c>
      <c r="J297" s="126" t="n">
        <v>90</v>
      </c>
      <c r="K297" s="109" t="n">
        <v>44</v>
      </c>
      <c r="L297" s="126" t="n">
        <v>41</v>
      </c>
      <c r="M297" s="109" t="n">
        <v>18</v>
      </c>
      <c r="N297" s="126" t="n">
        <v>66</v>
      </c>
      <c r="O297" s="109" t="n">
        <v>45</v>
      </c>
      <c r="P297" s="109" t="n">
        <v>79</v>
      </c>
      <c r="Q297" s="109" t="n">
        <v>119</v>
      </c>
      <c r="R297" s="109" t="n">
        <v>215</v>
      </c>
      <c r="S297" s="109" t="n">
        <f aca="false">C297+D297+E297+F297+G297+H297+I297+J297+K297+L297+M297+N297+O297+P297+Q297+R297</f>
        <v>1367</v>
      </c>
    </row>
    <row r="298" customFormat="false" ht="12.75" hidden="false" customHeight="false" outlineLevel="0" collapsed="false">
      <c r="A298" s="175" t="s">
        <v>63</v>
      </c>
      <c r="B298" s="107" t="n">
        <v>2015</v>
      </c>
      <c r="C298" s="109" t="n">
        <v>137</v>
      </c>
      <c r="D298" s="126" t="n">
        <v>216</v>
      </c>
      <c r="E298" s="109" t="n">
        <v>129</v>
      </c>
      <c r="F298" s="126" t="n">
        <v>41</v>
      </c>
      <c r="G298" s="109" t="n">
        <v>56</v>
      </c>
      <c r="H298" s="126" t="n">
        <v>41</v>
      </c>
      <c r="I298" s="109" t="n">
        <v>85</v>
      </c>
      <c r="J298" s="126" t="n">
        <v>110</v>
      </c>
      <c r="K298" s="109" t="n">
        <v>43</v>
      </c>
      <c r="L298" s="126" t="n">
        <v>41</v>
      </c>
      <c r="M298" s="109" t="n">
        <v>17</v>
      </c>
      <c r="N298" s="126" t="n">
        <v>81</v>
      </c>
      <c r="O298" s="109" t="n">
        <v>79</v>
      </c>
      <c r="P298" s="109" t="n">
        <v>85</v>
      </c>
      <c r="Q298" s="109" t="n">
        <v>139</v>
      </c>
      <c r="R298" s="109" t="n">
        <v>163</v>
      </c>
      <c r="S298" s="109" t="n">
        <f aca="false">C298+D298+E298+F298+G298+H298+I298+J298+K298+L298+M298+N298+O298+P298+Q298+R298</f>
        <v>1463</v>
      </c>
    </row>
    <row r="299" customFormat="false" ht="12.75" hidden="false" customHeight="false" outlineLevel="0" collapsed="false">
      <c r="A299" s="144"/>
      <c r="B299" s="112" t="s">
        <v>53</v>
      </c>
      <c r="C299" s="109" t="n">
        <f aca="false">C297-C298</f>
        <v>-27</v>
      </c>
      <c r="D299" s="126" t="n">
        <f aca="false">D297-D298</f>
        <v>-40</v>
      </c>
      <c r="E299" s="109" t="n">
        <f aca="false">E297-E298</f>
        <v>-37</v>
      </c>
      <c r="F299" s="126" t="n">
        <f aca="false">F297-F298</f>
        <v>14</v>
      </c>
      <c r="G299" s="109" t="n">
        <f aca="false">G297-G298</f>
        <v>-1</v>
      </c>
      <c r="H299" s="126" t="n">
        <f aca="false">H297-H298</f>
        <v>2</v>
      </c>
      <c r="I299" s="109" t="n">
        <f aca="false">I297-I298</f>
        <v>34</v>
      </c>
      <c r="J299" s="126" t="n">
        <f aca="false">J297-J298</f>
        <v>-20</v>
      </c>
      <c r="K299" s="109" t="n">
        <f aca="false">K297-K298</f>
        <v>1</v>
      </c>
      <c r="L299" s="126" t="n">
        <f aca="false">L297-L298</f>
        <v>0</v>
      </c>
      <c r="M299" s="109" t="n">
        <f aca="false">M297-M298</f>
        <v>1</v>
      </c>
      <c r="N299" s="126" t="n">
        <f aca="false">N297-N298</f>
        <v>-15</v>
      </c>
      <c r="O299" s="109" t="n">
        <f aca="false">O297-O298</f>
        <v>-34</v>
      </c>
      <c r="P299" s="109" t="n">
        <f aca="false">P297-P298</f>
        <v>-6</v>
      </c>
      <c r="Q299" s="109" t="n">
        <f aca="false">Q297-Q298</f>
        <v>-20</v>
      </c>
      <c r="R299" s="109" t="n">
        <f aca="false">R297-R298</f>
        <v>52</v>
      </c>
      <c r="S299" s="109" t="n">
        <f aca="false">S297-S298</f>
        <v>-96</v>
      </c>
    </row>
    <row r="300" customFormat="false" ht="13.5" hidden="false" customHeight="false" outlineLevel="0" collapsed="false">
      <c r="A300" s="142"/>
      <c r="B300" s="114" t="s">
        <v>9</v>
      </c>
      <c r="C300" s="117" t="n">
        <f aca="false">C299/C298</f>
        <v>-0.197080291970803</v>
      </c>
      <c r="D300" s="140" t="n">
        <f aca="false">D299/D298</f>
        <v>-0.185185185185185</v>
      </c>
      <c r="E300" s="117" t="n">
        <f aca="false">E299/E298</f>
        <v>-0.286821705426357</v>
      </c>
      <c r="F300" s="140" t="n">
        <f aca="false">F299/F298</f>
        <v>0.341463414634146</v>
      </c>
      <c r="G300" s="117" t="n">
        <f aca="false">G299/G298</f>
        <v>-0.0178571428571429</v>
      </c>
      <c r="H300" s="140" t="n">
        <f aca="false">H299/H298</f>
        <v>0.0487804878048781</v>
      </c>
      <c r="I300" s="117" t="n">
        <f aca="false">I299/I298</f>
        <v>0.4</v>
      </c>
      <c r="J300" s="140" t="n">
        <f aca="false">J299/J298</f>
        <v>-0.181818181818182</v>
      </c>
      <c r="K300" s="117" t="n">
        <f aca="false">K299/K298</f>
        <v>0.0232558139534884</v>
      </c>
      <c r="L300" s="140" t="n">
        <f aca="false">L299/L298</f>
        <v>0</v>
      </c>
      <c r="M300" s="117" t="n">
        <f aca="false">M299/M298</f>
        <v>0.0588235294117647</v>
      </c>
      <c r="N300" s="140" t="n">
        <f aca="false">N299/N298</f>
        <v>-0.185185185185185</v>
      </c>
      <c r="O300" s="117" t="n">
        <f aca="false">O299/O298</f>
        <v>-0.430379746835443</v>
      </c>
      <c r="P300" s="117" t="n">
        <f aca="false">P299/P298</f>
        <v>-0.0705882352941177</v>
      </c>
      <c r="Q300" s="117" t="n">
        <f aca="false">Q299/Q298</f>
        <v>-0.143884892086331</v>
      </c>
      <c r="R300" s="117" t="n">
        <f aca="false">R299/R298</f>
        <v>0.319018404907975</v>
      </c>
      <c r="S300" s="117" t="n">
        <f aca="false">S299/S298</f>
        <v>-0.0656185919343814</v>
      </c>
    </row>
    <row r="301" customFormat="false" ht="12.75" hidden="false" customHeight="false" outlineLevel="0" collapsed="false">
      <c r="A301" s="144"/>
      <c r="B301" s="107" t="n">
        <v>2016</v>
      </c>
      <c r="C301" s="109" t="n">
        <v>983</v>
      </c>
      <c r="D301" s="126" t="n">
        <v>487</v>
      </c>
      <c r="E301" s="109" t="n">
        <v>296</v>
      </c>
      <c r="F301" s="126" t="n">
        <v>42</v>
      </c>
      <c r="G301" s="109" t="n">
        <v>125</v>
      </c>
      <c r="H301" s="126" t="n">
        <v>75</v>
      </c>
      <c r="I301" s="109" t="n">
        <v>383</v>
      </c>
      <c r="J301" s="126" t="n">
        <v>275</v>
      </c>
      <c r="K301" s="109" t="n">
        <v>234</v>
      </c>
      <c r="L301" s="126" t="n">
        <v>78</v>
      </c>
      <c r="M301" s="109" t="n">
        <v>51</v>
      </c>
      <c r="N301" s="126" t="n">
        <v>134</v>
      </c>
      <c r="O301" s="109" t="n">
        <v>234</v>
      </c>
      <c r="P301" s="188" t="n">
        <v>329</v>
      </c>
      <c r="Q301" s="109" t="n">
        <v>304</v>
      </c>
      <c r="R301" s="109" t="n">
        <v>415</v>
      </c>
      <c r="S301" s="109" t="n">
        <f aca="false">C301+D301+E301+F301+G301+H301+I301+J301+K301+L301+M301+N301+O301+P301+Q301+R301</f>
        <v>4445</v>
      </c>
    </row>
    <row r="302" customFormat="false" ht="12.75" hidden="false" customHeight="false" outlineLevel="0" collapsed="false">
      <c r="A302" s="175" t="s">
        <v>64</v>
      </c>
      <c r="B302" s="107" t="n">
        <v>2015</v>
      </c>
      <c r="C302" s="109" t="n">
        <v>984</v>
      </c>
      <c r="D302" s="126" t="n">
        <v>509</v>
      </c>
      <c r="E302" s="109" t="n">
        <v>389</v>
      </c>
      <c r="F302" s="126" t="n">
        <v>63</v>
      </c>
      <c r="G302" s="109" t="n">
        <v>152</v>
      </c>
      <c r="H302" s="126" t="n">
        <v>126</v>
      </c>
      <c r="I302" s="109" t="n">
        <v>394</v>
      </c>
      <c r="J302" s="126" t="n">
        <v>227</v>
      </c>
      <c r="K302" s="109" t="n">
        <v>226</v>
      </c>
      <c r="L302" s="126" t="n">
        <v>82</v>
      </c>
      <c r="M302" s="109" t="n">
        <v>59</v>
      </c>
      <c r="N302" s="126" t="n">
        <v>182</v>
      </c>
      <c r="O302" s="109" t="n">
        <v>326</v>
      </c>
      <c r="P302" s="109" t="n">
        <v>386</v>
      </c>
      <c r="Q302" s="109" t="n">
        <v>419</v>
      </c>
      <c r="R302" s="109" t="n">
        <v>505</v>
      </c>
      <c r="S302" s="109" t="n">
        <f aca="false">C302+D302+E302+F302+G302+H302+I302+J302+K302+L302+M302+N302+O302+P302+Q302+R302</f>
        <v>5029</v>
      </c>
    </row>
    <row r="303" customFormat="false" ht="12.75" hidden="false" customHeight="false" outlineLevel="0" collapsed="false">
      <c r="A303" s="175" t="s">
        <v>65</v>
      </c>
      <c r="B303" s="112" t="s">
        <v>53</v>
      </c>
      <c r="C303" s="109" t="n">
        <f aca="false">C301-C302</f>
        <v>-1</v>
      </c>
      <c r="D303" s="126" t="n">
        <f aca="false">D301-D302</f>
        <v>-22</v>
      </c>
      <c r="E303" s="109" t="n">
        <f aca="false">E301-E302</f>
        <v>-93</v>
      </c>
      <c r="F303" s="126" t="n">
        <f aca="false">F301-F302</f>
        <v>-21</v>
      </c>
      <c r="G303" s="109" t="n">
        <f aca="false">G301-G302</f>
        <v>-27</v>
      </c>
      <c r="H303" s="126" t="n">
        <f aca="false">H301-H302</f>
        <v>-51</v>
      </c>
      <c r="I303" s="109" t="n">
        <f aca="false">I301-I302</f>
        <v>-11</v>
      </c>
      <c r="J303" s="126" t="n">
        <f aca="false">J301-J302</f>
        <v>48</v>
      </c>
      <c r="K303" s="109" t="n">
        <f aca="false">K301-K302</f>
        <v>8</v>
      </c>
      <c r="L303" s="126" t="n">
        <f aca="false">L301-L302</f>
        <v>-4</v>
      </c>
      <c r="M303" s="109" t="n">
        <f aca="false">M301-M302</f>
        <v>-8</v>
      </c>
      <c r="N303" s="126" t="n">
        <f aca="false">N301-N302</f>
        <v>-48</v>
      </c>
      <c r="O303" s="109" t="n">
        <f aca="false">O301-O302</f>
        <v>-92</v>
      </c>
      <c r="P303" s="109" t="n">
        <f aca="false">P301-P302</f>
        <v>-57</v>
      </c>
      <c r="Q303" s="109" t="n">
        <f aca="false">Q301-Q302</f>
        <v>-115</v>
      </c>
      <c r="R303" s="109" t="n">
        <f aca="false">R301-R302</f>
        <v>-90</v>
      </c>
      <c r="S303" s="109" t="n">
        <f aca="false">S301-S302</f>
        <v>-584</v>
      </c>
    </row>
    <row r="304" customFormat="false" ht="13.5" hidden="false" customHeight="false" outlineLevel="0" collapsed="false">
      <c r="A304" s="142"/>
      <c r="B304" s="114" t="s">
        <v>9</v>
      </c>
      <c r="C304" s="117" t="n">
        <f aca="false">C303/C302</f>
        <v>-0.00101626016260163</v>
      </c>
      <c r="D304" s="117" t="n">
        <f aca="false">D303/D302</f>
        <v>-0.0432220039292731</v>
      </c>
      <c r="E304" s="117" t="n">
        <f aca="false">E303/E302</f>
        <v>-0.239074550128535</v>
      </c>
      <c r="F304" s="117" t="n">
        <f aca="false">F303/F302</f>
        <v>-0.333333333333333</v>
      </c>
      <c r="G304" s="117" t="n">
        <f aca="false">G303/G302</f>
        <v>-0.177631578947368</v>
      </c>
      <c r="H304" s="117" t="n">
        <f aca="false">H303/H302</f>
        <v>-0.404761904761905</v>
      </c>
      <c r="I304" s="117" t="n">
        <f aca="false">I303/I302</f>
        <v>-0.0279187817258883</v>
      </c>
      <c r="J304" s="117" t="n">
        <f aca="false">J303/J302</f>
        <v>0.211453744493392</v>
      </c>
      <c r="K304" s="117" t="n">
        <f aca="false">K303/K302</f>
        <v>0.0353982300884956</v>
      </c>
      <c r="L304" s="117" t="n">
        <f aca="false">L303/L302</f>
        <v>-0.0487804878048781</v>
      </c>
      <c r="M304" s="117" t="n">
        <f aca="false">M303/M302</f>
        <v>-0.135593220338983</v>
      </c>
      <c r="N304" s="117" t="n">
        <f aca="false">N303/N302</f>
        <v>-0.263736263736264</v>
      </c>
      <c r="O304" s="117" t="n">
        <f aca="false">O303/O302</f>
        <v>-0.282208588957055</v>
      </c>
      <c r="P304" s="117" t="n">
        <f aca="false">P303/P302</f>
        <v>-0.147668393782383</v>
      </c>
      <c r="Q304" s="117" t="n">
        <f aca="false">Q303/Q302</f>
        <v>-0.274463007159905</v>
      </c>
      <c r="R304" s="117" t="n">
        <f aca="false">R303/R302</f>
        <v>-0.178217821782178</v>
      </c>
      <c r="S304" s="117" t="n">
        <f aca="false">S303/S302</f>
        <v>-0.116126466494333</v>
      </c>
    </row>
    <row r="305" customFormat="false" ht="12.75" hidden="false" customHeight="false" outlineLevel="0" collapsed="false">
      <c r="A305" s="144"/>
      <c r="B305" s="107" t="n">
        <v>2016</v>
      </c>
      <c r="C305" s="109" t="n">
        <v>231</v>
      </c>
      <c r="D305" s="126" t="n">
        <v>232</v>
      </c>
      <c r="E305" s="109" t="n">
        <v>135</v>
      </c>
      <c r="F305" s="126" t="n">
        <v>11</v>
      </c>
      <c r="G305" s="109" t="n">
        <v>16</v>
      </c>
      <c r="H305" s="126" t="n">
        <v>42</v>
      </c>
      <c r="I305" s="109" t="n">
        <v>62</v>
      </c>
      <c r="J305" s="126" t="n">
        <v>44</v>
      </c>
      <c r="K305" s="109" t="n">
        <v>36</v>
      </c>
      <c r="L305" s="126" t="n">
        <v>16</v>
      </c>
      <c r="M305" s="109" t="n">
        <v>15</v>
      </c>
      <c r="N305" s="126" t="n">
        <v>53</v>
      </c>
      <c r="O305" s="109" t="n">
        <v>65</v>
      </c>
      <c r="P305" s="109" t="n">
        <v>75</v>
      </c>
      <c r="Q305" s="109" t="n">
        <v>53</v>
      </c>
      <c r="R305" s="109" t="n">
        <v>68</v>
      </c>
      <c r="S305" s="109" t="n">
        <f aca="false">C305+D305+E305+F305+G305+H305+I305+J305+K305+L305+M305+N305+O305+P305+Q305+R305</f>
        <v>1154</v>
      </c>
    </row>
    <row r="306" customFormat="false" ht="12.75" hidden="false" customHeight="false" outlineLevel="0" collapsed="false">
      <c r="A306" s="175" t="s">
        <v>66</v>
      </c>
      <c r="B306" s="107" t="n">
        <v>2015</v>
      </c>
      <c r="C306" s="109" t="n">
        <v>193</v>
      </c>
      <c r="D306" s="126" t="n">
        <v>230</v>
      </c>
      <c r="E306" s="109" t="n">
        <v>160</v>
      </c>
      <c r="F306" s="126" t="n">
        <v>16</v>
      </c>
      <c r="G306" s="109" t="n">
        <v>19</v>
      </c>
      <c r="H306" s="126" t="n">
        <v>36</v>
      </c>
      <c r="I306" s="109" t="n">
        <v>61</v>
      </c>
      <c r="J306" s="126" t="n">
        <v>37</v>
      </c>
      <c r="K306" s="109" t="n">
        <v>25</v>
      </c>
      <c r="L306" s="126" t="n">
        <v>19</v>
      </c>
      <c r="M306" s="109" t="n">
        <v>21</v>
      </c>
      <c r="N306" s="126" t="n">
        <v>68</v>
      </c>
      <c r="O306" s="109" t="n">
        <v>78</v>
      </c>
      <c r="P306" s="109" t="n">
        <v>93</v>
      </c>
      <c r="Q306" s="109" t="n">
        <v>96</v>
      </c>
      <c r="R306" s="109" t="n">
        <v>107</v>
      </c>
      <c r="S306" s="109" t="n">
        <f aca="false">C306+D306+E306+F306+G306+H306+I306+J306+K306+L306+M306+N306+O306+P306+Q306+R306</f>
        <v>1259</v>
      </c>
    </row>
    <row r="307" customFormat="false" ht="12.75" hidden="false" customHeight="false" outlineLevel="0" collapsed="false">
      <c r="A307" s="175" t="s">
        <v>67</v>
      </c>
      <c r="B307" s="112" t="s">
        <v>53</v>
      </c>
      <c r="C307" s="109" t="n">
        <f aca="false">C305-C306</f>
        <v>38</v>
      </c>
      <c r="D307" s="126" t="n">
        <f aca="false">D305-D306</f>
        <v>2</v>
      </c>
      <c r="E307" s="109" t="n">
        <f aca="false">E305-E306</f>
        <v>-25</v>
      </c>
      <c r="F307" s="126" t="n">
        <f aca="false">F305-F306</f>
        <v>-5</v>
      </c>
      <c r="G307" s="109" t="n">
        <f aca="false">G305-G306</f>
        <v>-3</v>
      </c>
      <c r="H307" s="126" t="n">
        <f aca="false">H305-H306</f>
        <v>6</v>
      </c>
      <c r="I307" s="109" t="n">
        <f aca="false">I305-I306</f>
        <v>1</v>
      </c>
      <c r="J307" s="126" t="n">
        <f aca="false">J305-J306</f>
        <v>7</v>
      </c>
      <c r="K307" s="109" t="n">
        <f aca="false">K305-K306</f>
        <v>11</v>
      </c>
      <c r="L307" s="126" t="n">
        <f aca="false">L305-L306</f>
        <v>-3</v>
      </c>
      <c r="M307" s="109" t="n">
        <f aca="false">M305-M306</f>
        <v>-6</v>
      </c>
      <c r="N307" s="126" t="n">
        <f aca="false">N305-N306</f>
        <v>-15</v>
      </c>
      <c r="O307" s="109" t="n">
        <f aca="false">O305-O306</f>
        <v>-13</v>
      </c>
      <c r="P307" s="109" t="n">
        <f aca="false">P305-P306</f>
        <v>-18</v>
      </c>
      <c r="Q307" s="109" t="n">
        <f aca="false">Q305-Q306</f>
        <v>-43</v>
      </c>
      <c r="R307" s="109" t="n">
        <f aca="false">R305-R306</f>
        <v>-39</v>
      </c>
      <c r="S307" s="109" t="n">
        <f aca="false">S305-S306</f>
        <v>-105</v>
      </c>
    </row>
    <row r="308" customFormat="false" ht="13.5" hidden="false" customHeight="false" outlineLevel="0" collapsed="false">
      <c r="A308" s="142"/>
      <c r="B308" s="114" t="s">
        <v>9</v>
      </c>
      <c r="C308" s="117" t="n">
        <f aca="false">C307/C306</f>
        <v>0.196891191709845</v>
      </c>
      <c r="D308" s="140" t="n">
        <f aca="false">D307/D306</f>
        <v>0.00869565217391304</v>
      </c>
      <c r="E308" s="117" t="n">
        <f aca="false">E307/E306</f>
        <v>-0.15625</v>
      </c>
      <c r="F308" s="140" t="n">
        <f aca="false">F307/F306</f>
        <v>-0.3125</v>
      </c>
      <c r="G308" s="117" t="n">
        <f aca="false">G307/G306</f>
        <v>-0.157894736842105</v>
      </c>
      <c r="H308" s="140" t="n">
        <f aca="false">H307/H306</f>
        <v>0.166666666666667</v>
      </c>
      <c r="I308" s="117" t="n">
        <f aca="false">I307/I306</f>
        <v>0.0163934426229508</v>
      </c>
      <c r="J308" s="140" t="n">
        <f aca="false">J307/J306</f>
        <v>0.189189189189189</v>
      </c>
      <c r="K308" s="117" t="n">
        <f aca="false">K307/K306</f>
        <v>0.44</v>
      </c>
      <c r="L308" s="140" t="n">
        <f aca="false">L307/L306</f>
        <v>-0.157894736842105</v>
      </c>
      <c r="M308" s="117" t="n">
        <f aca="false">M307/M306</f>
        <v>-0.285714285714286</v>
      </c>
      <c r="N308" s="140" t="n">
        <f aca="false">N307/N306</f>
        <v>-0.220588235294118</v>
      </c>
      <c r="O308" s="117" t="n">
        <f aca="false">O307/O306</f>
        <v>-0.166666666666667</v>
      </c>
      <c r="P308" s="117" t="n">
        <f aca="false">P307/P306</f>
        <v>-0.193548387096774</v>
      </c>
      <c r="Q308" s="117" t="n">
        <f aca="false">Q307/Q306</f>
        <v>-0.447916666666667</v>
      </c>
      <c r="R308" s="117" t="n">
        <f aca="false">R307/R306</f>
        <v>-0.364485981308411</v>
      </c>
      <c r="S308" s="117" t="n">
        <f aca="false">S307/S306</f>
        <v>-0.0833995234312947</v>
      </c>
    </row>
    <row r="309" customFormat="false" ht="13.5" hidden="false" customHeight="false" outlineLevel="0" collapsed="false">
      <c r="A309" s="154" t="s">
        <v>147</v>
      </c>
      <c r="B309" s="124"/>
      <c r="C309" s="124"/>
      <c r="D309" s="125"/>
      <c r="E309" s="125"/>
      <c r="F309" s="125"/>
      <c r="G309" s="125"/>
      <c r="H309" s="125"/>
      <c r="I309" s="125"/>
      <c r="J309" s="125"/>
      <c r="K309" s="125"/>
      <c r="L309" s="125"/>
      <c r="M309" s="125"/>
      <c r="N309" s="125"/>
      <c r="O309" s="125"/>
      <c r="P309" s="125"/>
      <c r="Q309" s="125"/>
      <c r="R309" s="125"/>
      <c r="S309" s="125"/>
    </row>
    <row r="310" customFormat="false" ht="23.25" hidden="false" customHeight="false" outlineLevel="0" collapsed="false">
      <c r="A310" s="127"/>
      <c r="B310" s="128"/>
      <c r="C310" s="129" t="s">
        <v>148</v>
      </c>
      <c r="D310" s="131" t="s">
        <v>149</v>
      </c>
      <c r="E310" s="132" t="s">
        <v>150</v>
      </c>
      <c r="F310" s="131" t="s">
        <v>151</v>
      </c>
      <c r="G310" s="132" t="s">
        <v>152</v>
      </c>
      <c r="H310" s="131" t="s">
        <v>153</v>
      </c>
      <c r="I310" s="132" t="s">
        <v>154</v>
      </c>
      <c r="J310" s="130" t="s">
        <v>155</v>
      </c>
      <c r="K310" s="129" t="s">
        <v>156</v>
      </c>
      <c r="L310" s="135"/>
      <c r="M310" s="134"/>
      <c r="N310" s="134"/>
      <c r="O310" s="134"/>
      <c r="P310" s="134"/>
      <c r="Q310" s="134"/>
      <c r="R310" s="135"/>
      <c r="S310" s="134" t="s">
        <v>51</v>
      </c>
    </row>
    <row r="311" customFormat="false" ht="12.75" hidden="false" customHeight="false" outlineLevel="0" collapsed="false">
      <c r="A311" s="136"/>
      <c r="B311" s="107" t="n">
        <v>2016</v>
      </c>
      <c r="C311" s="109" t="n">
        <f aca="false">C315+C319+C327+C331+C335+C339+C343</f>
        <v>26</v>
      </c>
      <c r="D311" s="109" t="n">
        <f aca="false">D315+D319+D327+D331+D335+D339+D343</f>
        <v>551</v>
      </c>
      <c r="E311" s="109" t="n">
        <f aca="false">E315+E319+E327+E331+E335+E339+E343</f>
        <v>1014</v>
      </c>
      <c r="F311" s="109" t="n">
        <f aca="false">F315+F319+F327+F331+F335+F339+F343</f>
        <v>567</v>
      </c>
      <c r="G311" s="109" t="n">
        <f aca="false">G315+G319+G327+G331+G335+G339+G343</f>
        <v>176</v>
      </c>
      <c r="H311" s="109" t="n">
        <f aca="false">H315+H319+H327+H331+H335+H339+H343</f>
        <v>258</v>
      </c>
      <c r="I311" s="109" t="n">
        <f aca="false">I315+I319+I327+I331+I335+I339+I343</f>
        <v>246</v>
      </c>
      <c r="J311" s="109" t="n">
        <f aca="false">J315+J319+J327+J331+J335+J339+J343</f>
        <v>386</v>
      </c>
      <c r="K311" s="109" t="n">
        <f aca="false">K315+K319+K327+K331+K335+K339+K343</f>
        <v>228</v>
      </c>
      <c r="L311" s="109"/>
      <c r="M311" s="109"/>
      <c r="N311" s="109"/>
      <c r="O311" s="109"/>
      <c r="P311" s="109"/>
      <c r="Q311" s="109"/>
      <c r="R311" s="137"/>
      <c r="S311" s="109" t="n">
        <f aca="false">S315+S319+S327+S331+S335+S339+S343</f>
        <v>3452</v>
      </c>
    </row>
    <row r="312" customFormat="false" ht="12.75" hidden="false" customHeight="false" outlineLevel="0" collapsed="false">
      <c r="A312" s="138" t="s">
        <v>52</v>
      </c>
      <c r="B312" s="107" t="n">
        <v>2015</v>
      </c>
      <c r="C312" s="109" t="n">
        <f aca="false">C316+C320+C328+C332+C336+C340+C344</f>
        <v>44</v>
      </c>
      <c r="D312" s="109" t="n">
        <f aca="false">D316+D320+D328+D332+D336+D340+D344</f>
        <v>612</v>
      </c>
      <c r="E312" s="109" t="n">
        <f aca="false">E316+E320+E328+E332+E336+E340+E344</f>
        <v>1093</v>
      </c>
      <c r="F312" s="109" t="n">
        <f aca="false">F316+F320+F328+F332+F336+F340+F344</f>
        <v>591</v>
      </c>
      <c r="G312" s="109" t="n">
        <f aca="false">G316+G320+G328+G332+G336+G340+G344</f>
        <v>203</v>
      </c>
      <c r="H312" s="109" t="n">
        <f aca="false">H316+H320+H328+H332+H336+H340+H344</f>
        <v>289</v>
      </c>
      <c r="I312" s="109" t="n">
        <f aca="false">I316+I320+I328+I332+I336+I340+I344</f>
        <v>214</v>
      </c>
      <c r="J312" s="109" t="n">
        <f aca="false">J316+J320+J328+J332+J336+J340+J344</f>
        <v>437</v>
      </c>
      <c r="K312" s="109" t="n">
        <f aca="false">K316+K320+K328+K332+K336+K340+K344</f>
        <v>248</v>
      </c>
      <c r="L312" s="109"/>
      <c r="M312" s="109"/>
      <c r="N312" s="109"/>
      <c r="O312" s="109"/>
      <c r="P312" s="109"/>
      <c r="Q312" s="109"/>
      <c r="R312" s="137"/>
      <c r="S312" s="109" t="n">
        <f aca="false">S316+S320+S328+S332+S336+S340+S344</f>
        <v>3731</v>
      </c>
    </row>
    <row r="313" customFormat="false" ht="12.75" hidden="false" customHeight="false" outlineLevel="0" collapsed="false">
      <c r="A313" s="136"/>
      <c r="B313" s="112" t="s">
        <v>53</v>
      </c>
      <c r="C313" s="109" t="n">
        <f aca="false">C311-C312</f>
        <v>-18</v>
      </c>
      <c r="D313" s="126" t="n">
        <f aca="false">D311-D312</f>
        <v>-61</v>
      </c>
      <c r="E313" s="109" t="n">
        <f aca="false">E311-E312</f>
        <v>-79</v>
      </c>
      <c r="F313" s="126" t="n">
        <f aca="false">F311-F312</f>
        <v>-24</v>
      </c>
      <c r="G313" s="109" t="n">
        <f aca="false">G311-G312</f>
        <v>-27</v>
      </c>
      <c r="H313" s="126" t="n">
        <f aca="false">H311-H312</f>
        <v>-31</v>
      </c>
      <c r="I313" s="109" t="n">
        <f aca="false">I311-I312</f>
        <v>32</v>
      </c>
      <c r="J313" s="126" t="n">
        <f aca="false">J311-J312</f>
        <v>-51</v>
      </c>
      <c r="K313" s="109" t="n">
        <f aca="false">K311-K312</f>
        <v>-20</v>
      </c>
      <c r="L313" s="126"/>
      <c r="M313" s="109"/>
      <c r="N313" s="109"/>
      <c r="O313" s="109"/>
      <c r="P313" s="109"/>
      <c r="Q313" s="109"/>
      <c r="R313" s="126"/>
      <c r="S313" s="109" t="n">
        <f aca="false">S311-S312</f>
        <v>-279</v>
      </c>
    </row>
    <row r="314" customFormat="false" ht="13.5" hidden="false" customHeight="false" outlineLevel="0" collapsed="false">
      <c r="A314" s="139"/>
      <c r="B314" s="114" t="s">
        <v>9</v>
      </c>
      <c r="C314" s="117" t="n">
        <f aca="false">C313/C312</f>
        <v>-0.409090909090909</v>
      </c>
      <c r="D314" s="140" t="n">
        <f aca="false">D313/D312</f>
        <v>-0.0996732026143791</v>
      </c>
      <c r="E314" s="117" t="n">
        <f aca="false">E313/E312</f>
        <v>-0.0722781335773102</v>
      </c>
      <c r="F314" s="140" t="n">
        <f aca="false">F313/F312</f>
        <v>-0.0406091370558376</v>
      </c>
      <c r="G314" s="117" t="n">
        <f aca="false">G313/G312</f>
        <v>-0.133004926108374</v>
      </c>
      <c r="H314" s="140" t="n">
        <f aca="false">H313/H312</f>
        <v>-0.107266435986159</v>
      </c>
      <c r="I314" s="117" t="n">
        <f aca="false">I313/I312</f>
        <v>0.149532710280374</v>
      </c>
      <c r="J314" s="140" t="n">
        <f aca="false">J313/J312</f>
        <v>-0.116704805491991</v>
      </c>
      <c r="K314" s="117" t="n">
        <f aca="false">K313/K312</f>
        <v>-0.0806451612903226</v>
      </c>
      <c r="L314" s="140"/>
      <c r="M314" s="117"/>
      <c r="N314" s="117"/>
      <c r="O314" s="117"/>
      <c r="P314" s="117"/>
      <c r="Q314" s="117"/>
      <c r="R314" s="140"/>
      <c r="S314" s="117" t="n">
        <f aca="false">S313/S312</f>
        <v>-0.0747788796569284</v>
      </c>
    </row>
    <row r="315" customFormat="false" ht="12.75" hidden="false" customHeight="false" outlineLevel="0" collapsed="false">
      <c r="A315" s="136"/>
      <c r="B315" s="107" t="n">
        <v>2016</v>
      </c>
      <c r="C315" s="109" t="n">
        <v>0</v>
      </c>
      <c r="D315" s="126" t="n">
        <v>4</v>
      </c>
      <c r="E315" s="109" t="n">
        <v>19</v>
      </c>
      <c r="F315" s="126" t="n">
        <v>3</v>
      </c>
      <c r="G315" s="109" t="n">
        <v>0</v>
      </c>
      <c r="H315" s="126" t="n">
        <v>10</v>
      </c>
      <c r="I315" s="109" t="n">
        <v>5</v>
      </c>
      <c r="J315" s="126" t="n">
        <v>14</v>
      </c>
      <c r="K315" s="109" t="n">
        <v>15</v>
      </c>
      <c r="L315" s="126"/>
      <c r="M315" s="109"/>
      <c r="N315" s="109"/>
      <c r="O315" s="109"/>
      <c r="P315" s="109"/>
      <c r="Q315" s="109"/>
      <c r="R315" s="126"/>
      <c r="S315" s="109" t="n">
        <f aca="false">C315+D315+E315+F315+G315+H315+I315+J315+K315</f>
        <v>70</v>
      </c>
    </row>
    <row r="316" customFormat="false" ht="12.75" hidden="false" customHeight="false" outlineLevel="0" collapsed="false">
      <c r="A316" s="175" t="s">
        <v>54</v>
      </c>
      <c r="B316" s="107" t="n">
        <v>2015</v>
      </c>
      <c r="C316" s="109" t="n">
        <v>0</v>
      </c>
      <c r="D316" s="126" t="n">
        <v>5</v>
      </c>
      <c r="E316" s="109" t="n">
        <v>7</v>
      </c>
      <c r="F316" s="126" t="n">
        <v>7</v>
      </c>
      <c r="G316" s="109" t="n">
        <v>0</v>
      </c>
      <c r="H316" s="126" t="n">
        <v>2</v>
      </c>
      <c r="I316" s="109" t="n">
        <v>4</v>
      </c>
      <c r="J316" s="126" t="n">
        <v>16</v>
      </c>
      <c r="K316" s="109" t="n">
        <v>19</v>
      </c>
      <c r="L316" s="126"/>
      <c r="M316" s="109"/>
      <c r="N316" s="109"/>
      <c r="O316" s="109"/>
      <c r="P316" s="109"/>
      <c r="Q316" s="109"/>
      <c r="R316" s="126"/>
      <c r="S316" s="109" t="n">
        <f aca="false">C316+D316+E316+F316+G316+H316+I316+J316+K316</f>
        <v>60</v>
      </c>
    </row>
    <row r="317" customFormat="false" ht="12.75" hidden="false" customHeight="false" outlineLevel="0" collapsed="false">
      <c r="A317" s="175" t="s">
        <v>55</v>
      </c>
      <c r="B317" s="112" t="s">
        <v>53</v>
      </c>
      <c r="C317" s="109" t="n">
        <f aca="false">C315-C316</f>
        <v>0</v>
      </c>
      <c r="D317" s="126" t="n">
        <f aca="false">D315-D316</f>
        <v>-1</v>
      </c>
      <c r="E317" s="109" t="n">
        <f aca="false">E315-E316</f>
        <v>12</v>
      </c>
      <c r="F317" s="126" t="n">
        <f aca="false">F315-F316</f>
        <v>-4</v>
      </c>
      <c r="G317" s="109" t="n">
        <f aca="false">G315-G316</f>
        <v>0</v>
      </c>
      <c r="H317" s="126" t="n">
        <f aca="false">H315-H316</f>
        <v>8</v>
      </c>
      <c r="I317" s="109" t="n">
        <f aca="false">I315-I316</f>
        <v>1</v>
      </c>
      <c r="J317" s="126" t="n">
        <f aca="false">J315-J316</f>
        <v>-2</v>
      </c>
      <c r="K317" s="109" t="n">
        <f aca="false">K315-K316</f>
        <v>-4</v>
      </c>
      <c r="L317" s="126"/>
      <c r="M317" s="109"/>
      <c r="N317" s="109"/>
      <c r="O317" s="109"/>
      <c r="P317" s="109"/>
      <c r="Q317" s="109"/>
      <c r="R317" s="126"/>
      <c r="S317" s="109" t="n">
        <f aca="false">S315-S316</f>
        <v>10</v>
      </c>
    </row>
    <row r="318" customFormat="false" ht="13.5" hidden="false" customHeight="false" outlineLevel="0" collapsed="false">
      <c r="A318" s="142"/>
      <c r="B318" s="114" t="s">
        <v>9</v>
      </c>
      <c r="C318" s="117" t="n">
        <v>0</v>
      </c>
      <c r="D318" s="117" t="n">
        <f aca="false">D317/D316</f>
        <v>-0.2</v>
      </c>
      <c r="E318" s="117" t="n">
        <f aca="false">E317/E316</f>
        <v>1.71428571428571</v>
      </c>
      <c r="F318" s="117" t="n">
        <f aca="false">F317/F316</f>
        <v>-0.571428571428571</v>
      </c>
      <c r="G318" s="117" t="n">
        <v>0</v>
      </c>
      <c r="H318" s="117" t="n">
        <f aca="false">H317/H316</f>
        <v>4</v>
      </c>
      <c r="I318" s="117" t="n">
        <f aca="false">I317/I316</f>
        <v>0.25</v>
      </c>
      <c r="J318" s="117" t="n">
        <f aca="false">J317/J316</f>
        <v>-0.125</v>
      </c>
      <c r="K318" s="117" t="n">
        <f aca="false">K317/K316</f>
        <v>-0.210526315789474</v>
      </c>
      <c r="L318" s="140"/>
      <c r="M318" s="117"/>
      <c r="N318" s="117"/>
      <c r="O318" s="117"/>
      <c r="P318" s="117"/>
      <c r="Q318" s="117"/>
      <c r="R318" s="140"/>
      <c r="S318" s="117" t="n">
        <f aca="false">S317/S316</f>
        <v>0.166666666666667</v>
      </c>
    </row>
    <row r="319" customFormat="false" ht="12.75" hidden="false" customHeight="false" outlineLevel="0" collapsed="false">
      <c r="A319" s="144"/>
      <c r="B319" s="107" t="n">
        <v>2016</v>
      </c>
      <c r="C319" s="109" t="n">
        <v>1</v>
      </c>
      <c r="D319" s="126" t="n">
        <v>1</v>
      </c>
      <c r="E319" s="109" t="n">
        <v>0</v>
      </c>
      <c r="F319" s="126" t="n">
        <v>0</v>
      </c>
      <c r="G319" s="109" t="n">
        <v>2</v>
      </c>
      <c r="H319" s="126" t="n">
        <v>1</v>
      </c>
      <c r="I319" s="109" t="n">
        <v>2</v>
      </c>
      <c r="J319" s="126" t="n">
        <v>1</v>
      </c>
      <c r="K319" s="109" t="n">
        <v>2</v>
      </c>
      <c r="L319" s="126"/>
      <c r="M319" s="109"/>
      <c r="N319" s="109"/>
      <c r="O319" s="109"/>
      <c r="P319" s="109"/>
      <c r="Q319" s="109"/>
      <c r="R319" s="126"/>
      <c r="S319" s="109" t="n">
        <f aca="false">C319+D319+E319+F319+G319+H319+I319+J319+K319</f>
        <v>10</v>
      </c>
      <c r="T319" s="183"/>
      <c r="U319" s="183"/>
    </row>
    <row r="320" customFormat="false" ht="12.75" hidden="false" customHeight="false" outlineLevel="0" collapsed="false">
      <c r="A320" s="175" t="s">
        <v>56</v>
      </c>
      <c r="B320" s="107" t="n">
        <v>2015</v>
      </c>
      <c r="C320" s="109" t="n">
        <v>0</v>
      </c>
      <c r="D320" s="126" t="n">
        <v>0</v>
      </c>
      <c r="E320" s="109" t="n">
        <v>2</v>
      </c>
      <c r="F320" s="126" t="n">
        <v>1</v>
      </c>
      <c r="G320" s="109" t="n">
        <v>2</v>
      </c>
      <c r="H320" s="126" t="n">
        <v>0</v>
      </c>
      <c r="I320" s="109" t="n">
        <v>1</v>
      </c>
      <c r="J320" s="126" t="n">
        <v>0</v>
      </c>
      <c r="K320" s="109" t="n">
        <v>3</v>
      </c>
      <c r="L320" s="126"/>
      <c r="M320" s="109"/>
      <c r="N320" s="109"/>
      <c r="O320" s="109"/>
      <c r="P320" s="109"/>
      <c r="Q320" s="109"/>
      <c r="R320" s="126"/>
      <c r="S320" s="109" t="n">
        <f aca="false">C320+D320+E320+F320+G320+H320+I320+J320+K320</f>
        <v>9</v>
      </c>
    </row>
    <row r="321" customFormat="false" ht="12.75" hidden="false" customHeight="false" outlineLevel="0" collapsed="false">
      <c r="A321" s="175" t="s">
        <v>57</v>
      </c>
      <c r="B321" s="112" t="s">
        <v>53</v>
      </c>
      <c r="C321" s="109" t="n">
        <f aca="false">C319-C320</f>
        <v>1</v>
      </c>
      <c r="D321" s="126" t="n">
        <f aca="false">D319-D320</f>
        <v>1</v>
      </c>
      <c r="E321" s="109" t="n">
        <f aca="false">E319-E320</f>
        <v>-2</v>
      </c>
      <c r="F321" s="126" t="n">
        <f aca="false">F319-F320</f>
        <v>-1</v>
      </c>
      <c r="G321" s="109" t="n">
        <f aca="false">G319-G320</f>
        <v>0</v>
      </c>
      <c r="H321" s="126" t="n">
        <f aca="false">H319-H320</f>
        <v>1</v>
      </c>
      <c r="I321" s="109" t="n">
        <f aca="false">I319-I320</f>
        <v>1</v>
      </c>
      <c r="J321" s="126" t="n">
        <f aca="false">J319-J320</f>
        <v>1</v>
      </c>
      <c r="K321" s="109" t="n">
        <f aca="false">K319-K320</f>
        <v>-1</v>
      </c>
      <c r="L321" s="126"/>
      <c r="M321" s="109"/>
      <c r="N321" s="109"/>
      <c r="O321" s="109"/>
      <c r="P321" s="109"/>
      <c r="Q321" s="109"/>
      <c r="R321" s="126"/>
      <c r="S321" s="109" t="n">
        <f aca="false">S319-S320</f>
        <v>1</v>
      </c>
    </row>
    <row r="322" customFormat="false" ht="13.5" hidden="false" customHeight="false" outlineLevel="0" collapsed="false">
      <c r="A322" s="142"/>
      <c r="B322" s="114" t="s">
        <v>9</v>
      </c>
      <c r="C322" s="117" t="n">
        <v>0</v>
      </c>
      <c r="D322" s="117" t="n">
        <v>0</v>
      </c>
      <c r="E322" s="117" t="n">
        <f aca="false">E321/E320</f>
        <v>-1</v>
      </c>
      <c r="F322" s="117" t="n">
        <f aca="false">F321/F320</f>
        <v>-1</v>
      </c>
      <c r="G322" s="117" t="n">
        <f aca="false">G321/G320</f>
        <v>0</v>
      </c>
      <c r="H322" s="117" t="n">
        <v>0</v>
      </c>
      <c r="I322" s="117" t="n">
        <f aca="false">I321/I320</f>
        <v>1</v>
      </c>
      <c r="J322" s="117" t="n">
        <v>0</v>
      </c>
      <c r="K322" s="117" t="n">
        <f aca="false">K321/K320</f>
        <v>-0.333333333333333</v>
      </c>
      <c r="L322" s="140"/>
      <c r="M322" s="117"/>
      <c r="N322" s="117"/>
      <c r="O322" s="117"/>
      <c r="P322" s="117"/>
      <c r="Q322" s="117"/>
      <c r="R322" s="140"/>
      <c r="S322" s="117" t="n">
        <f aca="false">S321/S320</f>
        <v>0.111111111111111</v>
      </c>
    </row>
    <row r="323" customFormat="false" ht="12.75" hidden="false" customHeight="false" outlineLevel="0" collapsed="false">
      <c r="A323" s="144"/>
      <c r="B323" s="107" t="n">
        <v>2016</v>
      </c>
      <c r="C323" s="109" t="n">
        <v>0</v>
      </c>
      <c r="D323" s="126" t="n">
        <v>0</v>
      </c>
      <c r="E323" s="109" t="n">
        <v>0</v>
      </c>
      <c r="F323" s="126" t="n">
        <v>0</v>
      </c>
      <c r="G323" s="109" t="n">
        <v>0</v>
      </c>
      <c r="H323" s="126" t="n">
        <v>0</v>
      </c>
      <c r="I323" s="109" t="n">
        <v>0</v>
      </c>
      <c r="J323" s="126" t="n">
        <v>0</v>
      </c>
      <c r="K323" s="109" t="n">
        <v>0</v>
      </c>
      <c r="L323" s="126"/>
      <c r="M323" s="109"/>
      <c r="N323" s="109"/>
      <c r="O323" s="109"/>
      <c r="P323" s="109"/>
      <c r="Q323" s="109"/>
      <c r="R323" s="126"/>
      <c r="S323" s="109" t="n">
        <f aca="false">C323+D323+E323+F323+G323+H323+I323+J323+K323</f>
        <v>0</v>
      </c>
    </row>
    <row r="324" customFormat="false" ht="12.75" hidden="false" customHeight="false" outlineLevel="0" collapsed="false">
      <c r="A324" s="138" t="s">
        <v>80</v>
      </c>
      <c r="B324" s="107" t="n">
        <v>2015</v>
      </c>
      <c r="C324" s="109" t="n">
        <v>0</v>
      </c>
      <c r="D324" s="126" t="n">
        <v>0</v>
      </c>
      <c r="E324" s="109" t="n">
        <v>0</v>
      </c>
      <c r="F324" s="126" t="n">
        <v>0</v>
      </c>
      <c r="G324" s="109" t="n">
        <v>0</v>
      </c>
      <c r="H324" s="126" t="n">
        <v>0</v>
      </c>
      <c r="I324" s="109" t="n">
        <v>0</v>
      </c>
      <c r="J324" s="126" t="n">
        <v>0</v>
      </c>
      <c r="K324" s="109" t="n">
        <v>0</v>
      </c>
      <c r="L324" s="126"/>
      <c r="M324" s="109"/>
      <c r="N324" s="109"/>
      <c r="O324" s="109"/>
      <c r="P324" s="109"/>
      <c r="Q324" s="109"/>
      <c r="R324" s="126"/>
      <c r="S324" s="109" t="n">
        <f aca="false">C324+D324+E324+F324+G324+H324+I324+J324+K324</f>
        <v>0</v>
      </c>
    </row>
    <row r="325" customFormat="false" ht="12.75" hidden="false" customHeight="false" outlineLevel="0" collapsed="false">
      <c r="A325" s="138" t="s">
        <v>59</v>
      </c>
      <c r="B325" s="112" t="s">
        <v>53</v>
      </c>
      <c r="C325" s="109" t="n">
        <f aca="false">C323-C324</f>
        <v>0</v>
      </c>
      <c r="D325" s="126" t="n">
        <f aca="false">D323-D324</f>
        <v>0</v>
      </c>
      <c r="E325" s="109" t="n">
        <f aca="false">E323-E324</f>
        <v>0</v>
      </c>
      <c r="F325" s="126" t="n">
        <f aca="false">F323-F324</f>
        <v>0</v>
      </c>
      <c r="G325" s="109" t="n">
        <f aca="false">G323-G324</f>
        <v>0</v>
      </c>
      <c r="H325" s="126" t="n">
        <f aca="false">H323-H324</f>
        <v>0</v>
      </c>
      <c r="I325" s="109" t="n">
        <f aca="false">I323-I324</f>
        <v>0</v>
      </c>
      <c r="J325" s="126" t="n">
        <f aca="false">J323-J324</f>
        <v>0</v>
      </c>
      <c r="K325" s="109" t="n">
        <f aca="false">K323-K324</f>
        <v>0</v>
      </c>
      <c r="L325" s="126"/>
      <c r="M325" s="109"/>
      <c r="N325" s="109"/>
      <c r="O325" s="109"/>
      <c r="P325" s="109"/>
      <c r="Q325" s="109"/>
      <c r="R325" s="126"/>
      <c r="S325" s="109" t="n">
        <f aca="false">S323-S324</f>
        <v>0</v>
      </c>
    </row>
    <row r="326" customFormat="false" ht="13.5" hidden="false" customHeight="false" outlineLevel="0" collapsed="false">
      <c r="A326" s="142"/>
      <c r="B326" s="114" t="s">
        <v>9</v>
      </c>
      <c r="C326" s="117" t="n">
        <v>0</v>
      </c>
      <c r="D326" s="140" t="n">
        <v>0</v>
      </c>
      <c r="E326" s="117" t="n">
        <v>0</v>
      </c>
      <c r="F326" s="140" t="n">
        <v>0</v>
      </c>
      <c r="G326" s="117" t="n">
        <v>0</v>
      </c>
      <c r="H326" s="140" t="n">
        <v>0</v>
      </c>
      <c r="I326" s="117" t="n">
        <v>0</v>
      </c>
      <c r="J326" s="140" t="n">
        <v>0</v>
      </c>
      <c r="K326" s="117" t="n">
        <v>0</v>
      </c>
      <c r="L326" s="140"/>
      <c r="M326" s="117"/>
      <c r="N326" s="117"/>
      <c r="O326" s="117"/>
      <c r="P326" s="117"/>
      <c r="Q326" s="117"/>
      <c r="R326" s="140"/>
      <c r="S326" s="117" t="n">
        <v>0</v>
      </c>
    </row>
    <row r="327" customFormat="false" ht="12.75" hidden="false" customHeight="false" outlineLevel="0" collapsed="false">
      <c r="A327" s="144"/>
      <c r="B327" s="107" t="n">
        <v>2016</v>
      </c>
      <c r="C327" s="109" t="n">
        <v>2</v>
      </c>
      <c r="D327" s="126" t="n">
        <f aca="false">36+9</f>
        <v>45</v>
      </c>
      <c r="E327" s="109" t="n">
        <f aca="false">53+13</f>
        <v>66</v>
      </c>
      <c r="F327" s="126" t="n">
        <f aca="false">45+8</f>
        <v>53</v>
      </c>
      <c r="G327" s="109" t="n">
        <f aca="false">19+7</f>
        <v>26</v>
      </c>
      <c r="H327" s="126" t="n">
        <v>15</v>
      </c>
      <c r="I327" s="109" t="n">
        <v>14</v>
      </c>
      <c r="J327" s="126" t="n">
        <v>24</v>
      </c>
      <c r="K327" s="109" t="n">
        <v>14</v>
      </c>
      <c r="L327" s="126"/>
      <c r="M327" s="109"/>
      <c r="N327" s="109"/>
      <c r="O327" s="109"/>
      <c r="P327" s="109"/>
      <c r="Q327" s="109"/>
      <c r="R327" s="126"/>
      <c r="S327" s="109" t="n">
        <f aca="false">C327+D327+E327+F327+G327+H327+I327+J327+K327</f>
        <v>259</v>
      </c>
    </row>
    <row r="328" customFormat="false" ht="12.75" hidden="false" customHeight="false" outlineLevel="0" collapsed="false">
      <c r="A328" s="175" t="s">
        <v>60</v>
      </c>
      <c r="B328" s="107" t="n">
        <v>2015</v>
      </c>
      <c r="C328" s="109" t="n">
        <v>0</v>
      </c>
      <c r="D328" s="126" t="n">
        <v>62</v>
      </c>
      <c r="E328" s="109" t="n">
        <v>94</v>
      </c>
      <c r="F328" s="126" t="n">
        <v>64</v>
      </c>
      <c r="G328" s="109" t="n">
        <v>44</v>
      </c>
      <c r="H328" s="126" t="n">
        <v>40</v>
      </c>
      <c r="I328" s="109" t="n">
        <v>22</v>
      </c>
      <c r="J328" s="126" t="n">
        <v>49</v>
      </c>
      <c r="K328" s="109" t="n">
        <v>24</v>
      </c>
      <c r="L328" s="126"/>
      <c r="M328" s="109"/>
      <c r="N328" s="109"/>
      <c r="O328" s="109"/>
      <c r="P328" s="109"/>
      <c r="Q328" s="109"/>
      <c r="R328" s="126"/>
      <c r="S328" s="109" t="n">
        <f aca="false">C328+D328+E328+F328+G328+H328+I328+J328+K328</f>
        <v>399</v>
      </c>
    </row>
    <row r="329" customFormat="false" ht="12.75" hidden="false" customHeight="false" outlineLevel="0" collapsed="false">
      <c r="A329" s="144"/>
      <c r="B329" s="112" t="s">
        <v>53</v>
      </c>
      <c r="C329" s="109" t="n">
        <f aca="false">C327-C328</f>
        <v>2</v>
      </c>
      <c r="D329" s="126" t="n">
        <f aca="false">D327-D328</f>
        <v>-17</v>
      </c>
      <c r="E329" s="109" t="n">
        <f aca="false">E327-E328</f>
        <v>-28</v>
      </c>
      <c r="F329" s="126" t="n">
        <f aca="false">F327-F328</f>
        <v>-11</v>
      </c>
      <c r="G329" s="109" t="n">
        <f aca="false">G327-G328</f>
        <v>-18</v>
      </c>
      <c r="H329" s="126" t="n">
        <f aca="false">H327-H328</f>
        <v>-25</v>
      </c>
      <c r="I329" s="109" t="n">
        <f aca="false">I327-I328</f>
        <v>-8</v>
      </c>
      <c r="J329" s="126" t="n">
        <f aca="false">J327-J328</f>
        <v>-25</v>
      </c>
      <c r="K329" s="109" t="n">
        <f aca="false">K327-K328</f>
        <v>-10</v>
      </c>
      <c r="L329" s="126"/>
      <c r="M329" s="109"/>
      <c r="N329" s="109"/>
      <c r="O329" s="109"/>
      <c r="P329" s="109"/>
      <c r="Q329" s="109"/>
      <c r="R329" s="126"/>
      <c r="S329" s="109" t="n">
        <f aca="false">S327-S328</f>
        <v>-140</v>
      </c>
    </row>
    <row r="330" customFormat="false" ht="13.5" hidden="false" customHeight="false" outlineLevel="0" collapsed="false">
      <c r="A330" s="142"/>
      <c r="B330" s="114" t="s">
        <v>9</v>
      </c>
      <c r="C330" s="117" t="n">
        <v>0</v>
      </c>
      <c r="D330" s="117" t="n">
        <f aca="false">D329/D328</f>
        <v>-0.274193548387097</v>
      </c>
      <c r="E330" s="117" t="n">
        <f aca="false">E329/E328</f>
        <v>-0.297872340425532</v>
      </c>
      <c r="F330" s="117" t="n">
        <f aca="false">F329/F328</f>
        <v>-0.171875</v>
      </c>
      <c r="G330" s="117" t="n">
        <f aca="false">G329/G328</f>
        <v>-0.409090909090909</v>
      </c>
      <c r="H330" s="117" t="n">
        <f aca="false">H329/H328</f>
        <v>-0.625</v>
      </c>
      <c r="I330" s="117" t="n">
        <f aca="false">I329/I328</f>
        <v>-0.363636363636364</v>
      </c>
      <c r="J330" s="117" t="n">
        <f aca="false">J329/J328</f>
        <v>-0.510204081632653</v>
      </c>
      <c r="K330" s="117" t="n">
        <f aca="false">K329/K328</f>
        <v>-0.416666666666667</v>
      </c>
      <c r="L330" s="140"/>
      <c r="M330" s="117"/>
      <c r="N330" s="117"/>
      <c r="O330" s="117"/>
      <c r="P330" s="117"/>
      <c r="Q330" s="117"/>
      <c r="R330" s="140"/>
      <c r="S330" s="117" t="n">
        <f aca="false">S329/S328</f>
        <v>-0.350877192982456</v>
      </c>
    </row>
    <row r="331" customFormat="false" ht="12.75" hidden="false" customHeight="false" outlineLevel="0" collapsed="false">
      <c r="A331" s="144"/>
      <c r="B331" s="107" t="n">
        <v>2016</v>
      </c>
      <c r="C331" s="109" t="n">
        <v>3</v>
      </c>
      <c r="D331" s="126" t="n">
        <f aca="false">25+5</f>
        <v>30</v>
      </c>
      <c r="E331" s="109" t="n">
        <v>74</v>
      </c>
      <c r="F331" s="126" t="n">
        <f aca="false">14+5</f>
        <v>19</v>
      </c>
      <c r="G331" s="109" t="n">
        <v>10</v>
      </c>
      <c r="H331" s="126" t="n">
        <v>17</v>
      </c>
      <c r="I331" s="109" t="n">
        <v>22</v>
      </c>
      <c r="J331" s="126" t="n">
        <f aca="false">31+4</f>
        <v>35</v>
      </c>
      <c r="K331" s="109" t="n">
        <f aca="false">41+4</f>
        <v>45</v>
      </c>
      <c r="L331" s="126"/>
      <c r="M331" s="109"/>
      <c r="N331" s="109"/>
      <c r="O331" s="109"/>
      <c r="P331" s="109"/>
      <c r="Q331" s="109"/>
      <c r="R331" s="126"/>
      <c r="S331" s="109" t="n">
        <f aca="false">C331+D331+E331+F331+G331+H331+I331+J331+K331</f>
        <v>255</v>
      </c>
    </row>
    <row r="332" customFormat="false" ht="12.75" hidden="false" customHeight="false" outlineLevel="0" collapsed="false">
      <c r="A332" s="175" t="s">
        <v>61</v>
      </c>
      <c r="B332" s="107" t="n">
        <v>2015</v>
      </c>
      <c r="C332" s="109" t="n">
        <v>2</v>
      </c>
      <c r="D332" s="126" t="n">
        <v>28</v>
      </c>
      <c r="E332" s="109" t="n">
        <v>54</v>
      </c>
      <c r="F332" s="126" t="n">
        <v>23</v>
      </c>
      <c r="G332" s="109" t="n">
        <v>6</v>
      </c>
      <c r="H332" s="126" t="n">
        <v>25</v>
      </c>
      <c r="I332" s="109" t="n">
        <v>18</v>
      </c>
      <c r="J332" s="126" t="n">
        <v>44</v>
      </c>
      <c r="K332" s="109" t="n">
        <v>49</v>
      </c>
      <c r="L332" s="126"/>
      <c r="M332" s="109"/>
      <c r="N332" s="109"/>
      <c r="O332" s="109"/>
      <c r="P332" s="109"/>
      <c r="Q332" s="109"/>
      <c r="R332" s="126"/>
      <c r="S332" s="109" t="n">
        <f aca="false">C332+D332+E332+F332+G332+H332+I332+J332+K332</f>
        <v>249</v>
      </c>
    </row>
    <row r="333" customFormat="false" ht="12.75" hidden="false" customHeight="false" outlineLevel="0" collapsed="false">
      <c r="A333" s="175" t="s">
        <v>62</v>
      </c>
      <c r="B333" s="112" t="s">
        <v>53</v>
      </c>
      <c r="C333" s="109" t="n">
        <f aca="false">C331-C332</f>
        <v>1</v>
      </c>
      <c r="D333" s="126" t="n">
        <f aca="false">D331-D332</f>
        <v>2</v>
      </c>
      <c r="E333" s="109" t="n">
        <f aca="false">E331-E332</f>
        <v>20</v>
      </c>
      <c r="F333" s="126" t="n">
        <f aca="false">F331-F332</f>
        <v>-4</v>
      </c>
      <c r="G333" s="109" t="n">
        <f aca="false">G331-G332</f>
        <v>4</v>
      </c>
      <c r="H333" s="126" t="n">
        <f aca="false">H331-H332</f>
        <v>-8</v>
      </c>
      <c r="I333" s="109" t="n">
        <f aca="false">I331-I332</f>
        <v>4</v>
      </c>
      <c r="J333" s="126" t="n">
        <f aca="false">J331-J332</f>
        <v>-9</v>
      </c>
      <c r="K333" s="151" t="n">
        <f aca="false">K331-K332</f>
        <v>-4</v>
      </c>
      <c r="L333" s="126"/>
      <c r="M333" s="109"/>
      <c r="N333" s="109"/>
      <c r="O333" s="109"/>
      <c r="P333" s="109"/>
      <c r="Q333" s="109"/>
      <c r="R333" s="126"/>
      <c r="S333" s="109" t="n">
        <f aca="false">S331-S332</f>
        <v>6</v>
      </c>
    </row>
    <row r="334" customFormat="false" ht="13.5" hidden="false" customHeight="false" outlineLevel="0" collapsed="false">
      <c r="A334" s="142"/>
      <c r="B334" s="114" t="s">
        <v>9</v>
      </c>
      <c r="C334" s="117" t="n">
        <f aca="false">C333/C332</f>
        <v>0.5</v>
      </c>
      <c r="D334" s="117" t="n">
        <f aca="false">D333/D332</f>
        <v>0.0714285714285714</v>
      </c>
      <c r="E334" s="117" t="n">
        <f aca="false">E333/E332</f>
        <v>0.37037037037037</v>
      </c>
      <c r="F334" s="117" t="n">
        <f aca="false">F333/F332</f>
        <v>-0.173913043478261</v>
      </c>
      <c r="G334" s="117" t="n">
        <f aca="false">G333/G332</f>
        <v>0.666666666666667</v>
      </c>
      <c r="H334" s="117" t="n">
        <f aca="false">H333/H332</f>
        <v>-0.32</v>
      </c>
      <c r="I334" s="117" t="n">
        <f aca="false">I333/I332</f>
        <v>0.222222222222222</v>
      </c>
      <c r="J334" s="117" t="n">
        <f aca="false">J333/J332</f>
        <v>-0.204545454545455</v>
      </c>
      <c r="K334" s="117" t="n">
        <f aca="false">K333/K332</f>
        <v>-0.0816326530612245</v>
      </c>
      <c r="L334" s="140"/>
      <c r="M334" s="117"/>
      <c r="N334" s="117"/>
      <c r="O334" s="117"/>
      <c r="P334" s="117"/>
      <c r="Q334" s="117"/>
      <c r="R334" s="140"/>
      <c r="S334" s="117" t="n">
        <f aca="false">S333/S332</f>
        <v>0.0240963855421687</v>
      </c>
    </row>
    <row r="335" customFormat="false" ht="12.75" hidden="false" customHeight="false" outlineLevel="0" collapsed="false">
      <c r="A335" s="144"/>
      <c r="B335" s="107" t="n">
        <v>2016</v>
      </c>
      <c r="C335" s="109" t="n">
        <v>1</v>
      </c>
      <c r="D335" s="126" t="n">
        <f aca="false">98+7</f>
        <v>105</v>
      </c>
      <c r="E335" s="109" t="n">
        <f aca="false">207+15</f>
        <v>222</v>
      </c>
      <c r="F335" s="126" t="n">
        <f aca="false">84+4</f>
        <v>88</v>
      </c>
      <c r="G335" s="109" t="n">
        <v>10</v>
      </c>
      <c r="H335" s="126" t="n">
        <f aca="false">43+4</f>
        <v>47</v>
      </c>
      <c r="I335" s="109" t="n">
        <f aca="false">52+6</f>
        <v>58</v>
      </c>
      <c r="J335" s="126" t="n">
        <v>80</v>
      </c>
      <c r="K335" s="109" t="n">
        <f aca="false">24+5</f>
        <v>29</v>
      </c>
      <c r="L335" s="126"/>
      <c r="M335" s="109"/>
      <c r="N335" s="109"/>
      <c r="O335" s="109"/>
      <c r="P335" s="109"/>
      <c r="Q335" s="109"/>
      <c r="R335" s="126"/>
      <c r="S335" s="109" t="n">
        <f aca="false">C335+D335+E335+F335+G335+H335+I335+J335+K335</f>
        <v>640</v>
      </c>
    </row>
    <row r="336" customFormat="false" ht="12.75" hidden="false" customHeight="false" outlineLevel="0" collapsed="false">
      <c r="A336" s="175" t="s">
        <v>63</v>
      </c>
      <c r="B336" s="107" t="n">
        <v>2015</v>
      </c>
      <c r="C336" s="109" t="n">
        <v>2</v>
      </c>
      <c r="D336" s="126" t="n">
        <v>103</v>
      </c>
      <c r="E336" s="109" t="n">
        <v>266</v>
      </c>
      <c r="F336" s="126" t="n">
        <v>72</v>
      </c>
      <c r="G336" s="109" t="n">
        <v>14</v>
      </c>
      <c r="H336" s="126" t="n">
        <v>74</v>
      </c>
      <c r="I336" s="109" t="n">
        <v>59</v>
      </c>
      <c r="J336" s="126" t="n">
        <v>87</v>
      </c>
      <c r="K336" s="109" t="n">
        <v>39</v>
      </c>
      <c r="L336" s="126"/>
      <c r="M336" s="109"/>
      <c r="N336" s="109"/>
      <c r="O336" s="109"/>
      <c r="P336" s="109"/>
      <c r="Q336" s="109"/>
      <c r="R336" s="126"/>
      <c r="S336" s="109" t="n">
        <f aca="false">C336+D336+E336+F336+G336+H336+I336+J336+K336</f>
        <v>716</v>
      </c>
    </row>
    <row r="337" customFormat="false" ht="12.75" hidden="false" customHeight="false" outlineLevel="0" collapsed="false">
      <c r="A337" s="144"/>
      <c r="B337" s="112" t="s">
        <v>53</v>
      </c>
      <c r="C337" s="109" t="n">
        <f aca="false">C335-C336</f>
        <v>-1</v>
      </c>
      <c r="D337" s="126" t="n">
        <f aca="false">D335-D336</f>
        <v>2</v>
      </c>
      <c r="E337" s="109" t="n">
        <f aca="false">E335-E336</f>
        <v>-44</v>
      </c>
      <c r="F337" s="126" t="n">
        <f aca="false">F335-F336</f>
        <v>16</v>
      </c>
      <c r="G337" s="109" t="n">
        <f aca="false">G335-G336</f>
        <v>-4</v>
      </c>
      <c r="H337" s="126" t="n">
        <f aca="false">H335-H336</f>
        <v>-27</v>
      </c>
      <c r="I337" s="109" t="n">
        <f aca="false">I335-I336</f>
        <v>-1</v>
      </c>
      <c r="J337" s="126" t="n">
        <f aca="false">J335-J336</f>
        <v>-7</v>
      </c>
      <c r="K337" s="109" t="n">
        <f aca="false">K335-K336</f>
        <v>-10</v>
      </c>
      <c r="L337" s="126"/>
      <c r="M337" s="109"/>
      <c r="N337" s="109"/>
      <c r="O337" s="109"/>
      <c r="P337" s="109"/>
      <c r="Q337" s="109"/>
      <c r="R337" s="126"/>
      <c r="S337" s="109" t="n">
        <f aca="false">S335-S336</f>
        <v>-76</v>
      </c>
    </row>
    <row r="338" customFormat="false" ht="13.5" hidden="false" customHeight="false" outlineLevel="0" collapsed="false">
      <c r="A338" s="142"/>
      <c r="B338" s="114" t="s">
        <v>9</v>
      </c>
      <c r="C338" s="117" t="n">
        <f aca="false">C337/C336</f>
        <v>-0.5</v>
      </c>
      <c r="D338" s="140" t="n">
        <f aca="false">D337/D336</f>
        <v>0.0194174757281553</v>
      </c>
      <c r="E338" s="117" t="n">
        <f aca="false">E337/E336</f>
        <v>-0.165413533834586</v>
      </c>
      <c r="F338" s="140" t="n">
        <f aca="false">F337/F336</f>
        <v>0.222222222222222</v>
      </c>
      <c r="G338" s="117" t="n">
        <f aca="false">G337/G336</f>
        <v>-0.285714285714286</v>
      </c>
      <c r="H338" s="140" t="n">
        <f aca="false">H337/H336</f>
        <v>-0.364864864864865</v>
      </c>
      <c r="I338" s="117" t="n">
        <f aca="false">I337/I336</f>
        <v>-0.0169491525423729</v>
      </c>
      <c r="J338" s="140" t="n">
        <f aca="false">J337/J336</f>
        <v>-0.0804597701149425</v>
      </c>
      <c r="K338" s="117" t="n">
        <f aca="false">K337/K336</f>
        <v>-0.256410256410256</v>
      </c>
      <c r="L338" s="140"/>
      <c r="M338" s="117"/>
      <c r="N338" s="117"/>
      <c r="O338" s="117"/>
      <c r="P338" s="117"/>
      <c r="Q338" s="117"/>
      <c r="R338" s="140"/>
      <c r="S338" s="117" t="n">
        <f aca="false">S337/S336</f>
        <v>-0.106145251396648</v>
      </c>
    </row>
    <row r="339" customFormat="false" ht="12.75" hidden="false" customHeight="false" outlineLevel="0" collapsed="false">
      <c r="A339" s="144"/>
      <c r="B339" s="107" t="n">
        <v>2016</v>
      </c>
      <c r="C339" s="109" t="n">
        <v>16</v>
      </c>
      <c r="D339" s="126" t="n">
        <f aca="false">281+25</f>
        <v>306</v>
      </c>
      <c r="E339" s="109" t="n">
        <f aca="false">541+37</f>
        <v>578</v>
      </c>
      <c r="F339" s="126" t="n">
        <f aca="false">317+36</f>
        <v>353</v>
      </c>
      <c r="G339" s="109" t="n">
        <f aca="false">119+3</f>
        <v>122</v>
      </c>
      <c r="H339" s="126" t="n">
        <f aca="false">124+18</f>
        <v>142</v>
      </c>
      <c r="I339" s="109" t="n">
        <f aca="false">119+17</f>
        <v>136</v>
      </c>
      <c r="J339" s="126" t="n">
        <f aca="false">196+16</f>
        <v>212</v>
      </c>
      <c r="K339" s="109" t="n">
        <f aca="false">106+5</f>
        <v>111</v>
      </c>
      <c r="L339" s="126"/>
      <c r="M339" s="109"/>
      <c r="N339" s="109"/>
      <c r="O339" s="109"/>
      <c r="P339" s="109"/>
      <c r="Q339" s="109"/>
      <c r="R339" s="126"/>
      <c r="S339" s="109" t="n">
        <f aca="false">C339+D339+E339+F339+G339+H339+I339+J339+K339</f>
        <v>1976</v>
      </c>
    </row>
    <row r="340" customFormat="false" ht="12.75" hidden="false" customHeight="false" outlineLevel="0" collapsed="false">
      <c r="A340" s="175" t="s">
        <v>64</v>
      </c>
      <c r="B340" s="107" t="n">
        <v>2015</v>
      </c>
      <c r="C340" s="109" t="n">
        <v>35</v>
      </c>
      <c r="D340" s="126" t="n">
        <v>359</v>
      </c>
      <c r="E340" s="109" t="n">
        <v>633</v>
      </c>
      <c r="F340" s="126" t="n">
        <v>375</v>
      </c>
      <c r="G340" s="109" t="n">
        <v>126</v>
      </c>
      <c r="H340" s="126" t="n">
        <v>127</v>
      </c>
      <c r="I340" s="109" t="n">
        <v>95</v>
      </c>
      <c r="J340" s="126" t="n">
        <v>225</v>
      </c>
      <c r="K340" s="109" t="n">
        <v>106</v>
      </c>
      <c r="L340" s="126"/>
      <c r="M340" s="109"/>
      <c r="N340" s="109"/>
      <c r="O340" s="109"/>
      <c r="P340" s="109"/>
      <c r="Q340" s="109"/>
      <c r="R340" s="126"/>
      <c r="S340" s="109" t="n">
        <f aca="false">C340+D340+E340+F340+G340+H340+I340+J340+K340</f>
        <v>2081</v>
      </c>
    </row>
    <row r="341" customFormat="false" ht="12.75" hidden="false" customHeight="false" outlineLevel="0" collapsed="false">
      <c r="A341" s="175" t="s">
        <v>65</v>
      </c>
      <c r="B341" s="112" t="s">
        <v>53</v>
      </c>
      <c r="C341" s="109" t="n">
        <f aca="false">C339-C340</f>
        <v>-19</v>
      </c>
      <c r="D341" s="126" t="n">
        <f aca="false">D339-D340</f>
        <v>-53</v>
      </c>
      <c r="E341" s="109" t="n">
        <f aca="false">E339-E340</f>
        <v>-55</v>
      </c>
      <c r="F341" s="126" t="n">
        <f aca="false">F339-F340</f>
        <v>-22</v>
      </c>
      <c r="G341" s="109" t="n">
        <f aca="false">G339-G340</f>
        <v>-4</v>
      </c>
      <c r="H341" s="126" t="n">
        <f aca="false">H339-H340</f>
        <v>15</v>
      </c>
      <c r="I341" s="109" t="n">
        <f aca="false">I339-I340</f>
        <v>41</v>
      </c>
      <c r="J341" s="126" t="n">
        <f aca="false">J339-J340</f>
        <v>-13</v>
      </c>
      <c r="K341" s="189" t="n">
        <f aca="false">K339-K340</f>
        <v>5</v>
      </c>
      <c r="L341" s="126"/>
      <c r="M341" s="109"/>
      <c r="N341" s="109"/>
      <c r="O341" s="109"/>
      <c r="P341" s="109"/>
      <c r="Q341" s="109"/>
      <c r="R341" s="126"/>
      <c r="S341" s="109" t="n">
        <f aca="false">S339-S340</f>
        <v>-105</v>
      </c>
    </row>
    <row r="342" customFormat="false" ht="13.5" hidden="false" customHeight="false" outlineLevel="0" collapsed="false">
      <c r="A342" s="142"/>
      <c r="B342" s="114" t="s">
        <v>9</v>
      </c>
      <c r="C342" s="117" t="n">
        <f aca="false">C341/C340</f>
        <v>-0.542857142857143</v>
      </c>
      <c r="D342" s="140" t="n">
        <f aca="false">D341/D340</f>
        <v>-0.147632311977716</v>
      </c>
      <c r="E342" s="117" t="n">
        <f aca="false">E341/E340</f>
        <v>-0.0868878357030016</v>
      </c>
      <c r="F342" s="140" t="n">
        <f aca="false">F341/F340</f>
        <v>-0.0586666666666667</v>
      </c>
      <c r="G342" s="117" t="n">
        <f aca="false">G341/G340</f>
        <v>-0.0317460317460317</v>
      </c>
      <c r="H342" s="140" t="n">
        <f aca="false">H341/H340</f>
        <v>0.118110236220472</v>
      </c>
      <c r="I342" s="117" t="n">
        <f aca="false">I341/I340</f>
        <v>0.431578947368421</v>
      </c>
      <c r="J342" s="140" t="n">
        <f aca="false">J341/J340</f>
        <v>-0.0577777777777778</v>
      </c>
      <c r="K342" s="117" t="n">
        <f aca="false">K341/K340</f>
        <v>0.0471698113207547</v>
      </c>
      <c r="L342" s="140"/>
      <c r="M342" s="117"/>
      <c r="N342" s="117"/>
      <c r="O342" s="117"/>
      <c r="P342" s="117"/>
      <c r="Q342" s="117"/>
      <c r="R342" s="140"/>
      <c r="S342" s="117" t="n">
        <f aca="false">S341/S340</f>
        <v>-0.0504565112926478</v>
      </c>
    </row>
    <row r="343" customFormat="false" ht="12.75" hidden="false" customHeight="false" outlineLevel="0" collapsed="false">
      <c r="A343" s="144"/>
      <c r="B343" s="107" t="n">
        <v>2016</v>
      </c>
      <c r="C343" s="109" t="n">
        <v>3</v>
      </c>
      <c r="D343" s="126" t="n">
        <f aca="false">56+4</f>
        <v>60</v>
      </c>
      <c r="E343" s="109" t="n">
        <v>55</v>
      </c>
      <c r="F343" s="126" t="n">
        <v>51</v>
      </c>
      <c r="G343" s="109" t="n">
        <v>6</v>
      </c>
      <c r="H343" s="126" t="n">
        <v>26</v>
      </c>
      <c r="I343" s="109" t="n">
        <f aca="false">6+3</f>
        <v>9</v>
      </c>
      <c r="J343" s="126" t="n">
        <v>20</v>
      </c>
      <c r="K343" s="109" t="n">
        <v>12</v>
      </c>
      <c r="L343" s="126"/>
      <c r="M343" s="109"/>
      <c r="N343" s="109"/>
      <c r="O343" s="109"/>
      <c r="P343" s="109"/>
      <c r="Q343" s="109"/>
      <c r="R343" s="126"/>
      <c r="S343" s="109" t="n">
        <f aca="false">C343+D343+E343+F343+G343+H343+I343+J343+K343</f>
        <v>242</v>
      </c>
    </row>
    <row r="344" customFormat="false" ht="12.75" hidden="false" customHeight="false" outlineLevel="0" collapsed="false">
      <c r="A344" s="175" t="s">
        <v>66</v>
      </c>
      <c r="B344" s="107" t="n">
        <v>2015</v>
      </c>
      <c r="C344" s="109" t="n">
        <v>5</v>
      </c>
      <c r="D344" s="126" t="n">
        <v>55</v>
      </c>
      <c r="E344" s="109" t="n">
        <v>37</v>
      </c>
      <c r="F344" s="126" t="n">
        <v>49</v>
      </c>
      <c r="G344" s="109" t="n">
        <v>11</v>
      </c>
      <c r="H344" s="126" t="n">
        <v>21</v>
      </c>
      <c r="I344" s="109" t="n">
        <v>15</v>
      </c>
      <c r="J344" s="126" t="n">
        <v>16</v>
      </c>
      <c r="K344" s="109" t="n">
        <v>8</v>
      </c>
      <c r="L344" s="126"/>
      <c r="M344" s="109"/>
      <c r="N344" s="109"/>
      <c r="O344" s="109"/>
      <c r="P344" s="109"/>
      <c r="Q344" s="109"/>
      <c r="R344" s="126"/>
      <c r="S344" s="109" t="n">
        <f aca="false">C344+D344+E344+F344+G344+H344+I344+J344+K344</f>
        <v>217</v>
      </c>
    </row>
    <row r="345" customFormat="false" ht="12.75" hidden="false" customHeight="false" outlineLevel="0" collapsed="false">
      <c r="A345" s="175" t="s">
        <v>67</v>
      </c>
      <c r="B345" s="112" t="s">
        <v>53</v>
      </c>
      <c r="C345" s="109" t="n">
        <f aca="false">C343-C344</f>
        <v>-2</v>
      </c>
      <c r="D345" s="126" t="n">
        <f aca="false">D343-D344</f>
        <v>5</v>
      </c>
      <c r="E345" s="109" t="n">
        <f aca="false">E343-E344</f>
        <v>18</v>
      </c>
      <c r="F345" s="126" t="n">
        <f aca="false">F343-F344</f>
        <v>2</v>
      </c>
      <c r="G345" s="109" t="n">
        <f aca="false">G343-G344</f>
        <v>-5</v>
      </c>
      <c r="H345" s="126" t="n">
        <f aca="false">H343-H344</f>
        <v>5</v>
      </c>
      <c r="I345" s="109" t="n">
        <f aca="false">I343-I344</f>
        <v>-6</v>
      </c>
      <c r="J345" s="126" t="n">
        <f aca="false">J343-J344</f>
        <v>4</v>
      </c>
      <c r="K345" s="109" t="n">
        <f aca="false">K343-K344</f>
        <v>4</v>
      </c>
      <c r="L345" s="126"/>
      <c r="M345" s="109"/>
      <c r="N345" s="109"/>
      <c r="O345" s="109"/>
      <c r="P345" s="109"/>
      <c r="Q345" s="109"/>
      <c r="R345" s="126"/>
      <c r="S345" s="109" t="n">
        <f aca="false">S343-S344</f>
        <v>25</v>
      </c>
    </row>
    <row r="346" customFormat="false" ht="13.5" hidden="false" customHeight="false" outlineLevel="0" collapsed="false">
      <c r="A346" s="142"/>
      <c r="B346" s="114" t="s">
        <v>9</v>
      </c>
      <c r="C346" s="117" t="n">
        <f aca="false">C345/C344</f>
        <v>-0.4</v>
      </c>
      <c r="D346" s="140" t="n">
        <f aca="false">D345/D344</f>
        <v>0.0909090909090909</v>
      </c>
      <c r="E346" s="117" t="n">
        <f aca="false">E345/E344</f>
        <v>0.486486486486487</v>
      </c>
      <c r="F346" s="140" t="n">
        <f aca="false">F345/F344</f>
        <v>0.0408163265306122</v>
      </c>
      <c r="G346" s="117" t="n">
        <f aca="false">G345/G344</f>
        <v>-0.454545454545455</v>
      </c>
      <c r="H346" s="140" t="n">
        <f aca="false">H345/H344</f>
        <v>0.238095238095238</v>
      </c>
      <c r="I346" s="117" t="n">
        <f aca="false">I345/I344</f>
        <v>-0.4</v>
      </c>
      <c r="J346" s="140" t="n">
        <f aca="false">J345/J344</f>
        <v>0.25</v>
      </c>
      <c r="K346" s="117" t="n">
        <f aca="false">K345/K344</f>
        <v>0.5</v>
      </c>
      <c r="L346" s="140"/>
      <c r="M346" s="117"/>
      <c r="N346" s="117"/>
      <c r="O346" s="117"/>
      <c r="P346" s="117"/>
      <c r="Q346" s="117"/>
      <c r="R346" s="140"/>
      <c r="S346" s="117" t="n">
        <f aca="false">S345/S344</f>
        <v>0.115207373271889</v>
      </c>
    </row>
    <row r="347" customFormat="false" ht="13.5" hidden="false" customHeight="false" outlineLevel="0" collapsed="false">
      <c r="A347" s="154" t="s">
        <v>157</v>
      </c>
      <c r="B347" s="124"/>
      <c r="C347" s="125"/>
      <c r="D347" s="125"/>
      <c r="E347" s="125"/>
      <c r="F347" s="125"/>
      <c r="G347" s="125"/>
      <c r="H347" s="125"/>
      <c r="I347" s="125"/>
      <c r="J347" s="125"/>
      <c r="K347" s="125"/>
      <c r="L347" s="125"/>
      <c r="M347" s="125"/>
      <c r="N347" s="125"/>
      <c r="O347" s="125"/>
      <c r="P347" s="125"/>
      <c r="Q347" s="125"/>
      <c r="R347" s="125"/>
      <c r="S347" s="125"/>
    </row>
    <row r="348" customFormat="false" ht="13.5" hidden="false" customHeight="false" outlineLevel="0" collapsed="false">
      <c r="A348" s="127"/>
      <c r="B348" s="128"/>
      <c r="C348" s="129" t="s">
        <v>158</v>
      </c>
      <c r="D348" s="129" t="s">
        <v>159</v>
      </c>
      <c r="E348" s="129" t="s">
        <v>160</v>
      </c>
      <c r="F348" s="130" t="s">
        <v>161</v>
      </c>
      <c r="G348" s="129" t="s">
        <v>162</v>
      </c>
      <c r="H348" s="134"/>
      <c r="I348" s="135"/>
      <c r="J348" s="134"/>
      <c r="K348" s="134"/>
      <c r="L348" s="135"/>
      <c r="M348" s="134"/>
      <c r="N348" s="134"/>
      <c r="O348" s="134"/>
      <c r="P348" s="134"/>
      <c r="Q348" s="134"/>
      <c r="R348" s="135"/>
      <c r="S348" s="134" t="s">
        <v>51</v>
      </c>
    </row>
    <row r="349" customFormat="false" ht="12.75" hidden="false" customHeight="false" outlineLevel="0" collapsed="false">
      <c r="A349" s="136"/>
      <c r="B349" s="107" t="n">
        <v>2016</v>
      </c>
      <c r="C349" s="109" t="n">
        <f aca="false">C353+C357+C365+C369+C373+C377+C381+C361</f>
        <v>118</v>
      </c>
      <c r="D349" s="109" t="n">
        <f aca="false">D353+D357+D365+D369+D373+D377+D381</f>
        <v>491</v>
      </c>
      <c r="E349" s="109" t="n">
        <f aca="false">E353+E357+E365+E369+E373+E377+E381</f>
        <v>430</v>
      </c>
      <c r="F349" s="109" t="n">
        <f aca="false">F353+F357+F365+F369+F373+F377+F381</f>
        <v>108</v>
      </c>
      <c r="G349" s="109" t="n">
        <f aca="false">G353+G357+G365+G369+G373+G377+G381</f>
        <v>260</v>
      </c>
      <c r="H349" s="109"/>
      <c r="I349" s="109"/>
      <c r="J349" s="109"/>
      <c r="K349" s="109"/>
      <c r="L349" s="137"/>
      <c r="M349" s="109"/>
      <c r="N349" s="109"/>
      <c r="O349" s="109"/>
      <c r="P349" s="109"/>
      <c r="Q349" s="109"/>
      <c r="R349" s="137"/>
      <c r="S349" s="109" t="n">
        <f aca="false">S353+S357+S365+S369+S373+S377+S381</f>
        <v>1407</v>
      </c>
    </row>
    <row r="350" customFormat="false" ht="12.75" hidden="false" customHeight="false" outlineLevel="0" collapsed="false">
      <c r="A350" s="138" t="s">
        <v>52</v>
      </c>
      <c r="B350" s="107" t="n">
        <v>2015</v>
      </c>
      <c r="C350" s="109" t="n">
        <f aca="false">C354+C358+C366+C370+C374+C378+C382</f>
        <v>141</v>
      </c>
      <c r="D350" s="109" t="n">
        <f aca="false">D354+D358+D366+D370+D374+D378+D382</f>
        <v>439</v>
      </c>
      <c r="E350" s="109" t="n">
        <f aca="false">E354+E358+E366+E370+E374+E378+E382</f>
        <v>450</v>
      </c>
      <c r="F350" s="109" t="n">
        <f aca="false">F354+F358+F366+F370+F374+F378+F382</f>
        <v>109</v>
      </c>
      <c r="G350" s="109" t="n">
        <f aca="false">G354+G358+G366+G370+G374+G378+G382</f>
        <v>284</v>
      </c>
      <c r="H350" s="109"/>
      <c r="I350" s="109"/>
      <c r="J350" s="109"/>
      <c r="K350" s="109"/>
      <c r="L350" s="137"/>
      <c r="M350" s="109"/>
      <c r="N350" s="109"/>
      <c r="O350" s="109"/>
      <c r="P350" s="109"/>
      <c r="Q350" s="109"/>
      <c r="R350" s="137"/>
      <c r="S350" s="109" t="n">
        <f aca="false">S354+S358+S366+S370+S374+S378+S382</f>
        <v>1423</v>
      </c>
    </row>
    <row r="351" customFormat="false" ht="12.75" hidden="false" customHeight="false" outlineLevel="0" collapsed="false">
      <c r="A351" s="136"/>
      <c r="B351" s="112" t="s">
        <v>53</v>
      </c>
      <c r="C351" s="109" t="n">
        <f aca="false">C349-C350</f>
        <v>-23</v>
      </c>
      <c r="D351" s="109" t="n">
        <f aca="false">D349-D350</f>
        <v>52</v>
      </c>
      <c r="E351" s="109" t="n">
        <f aca="false">E349-E350</f>
        <v>-20</v>
      </c>
      <c r="F351" s="126" t="n">
        <f aca="false">F349-F350</f>
        <v>-1</v>
      </c>
      <c r="G351" s="109" t="n">
        <f aca="false">G349-G350</f>
        <v>-24</v>
      </c>
      <c r="H351" s="109"/>
      <c r="I351" s="126"/>
      <c r="J351" s="109"/>
      <c r="K351" s="109"/>
      <c r="L351" s="126"/>
      <c r="M351" s="109"/>
      <c r="N351" s="109"/>
      <c r="O351" s="109"/>
      <c r="P351" s="109"/>
      <c r="Q351" s="109"/>
      <c r="R351" s="126"/>
      <c r="S351" s="109" t="n">
        <f aca="false">S349-S350</f>
        <v>-16</v>
      </c>
    </row>
    <row r="352" customFormat="false" ht="13.5" hidden="false" customHeight="false" outlineLevel="0" collapsed="false">
      <c r="A352" s="139"/>
      <c r="B352" s="114" t="s">
        <v>9</v>
      </c>
      <c r="C352" s="117" t="n">
        <f aca="false">C351/C350</f>
        <v>-0.163120567375887</v>
      </c>
      <c r="D352" s="117" t="n">
        <f aca="false">D351/D350</f>
        <v>0.118451025056948</v>
      </c>
      <c r="E352" s="117" t="n">
        <f aca="false">E351/E350</f>
        <v>-0.0444444444444444</v>
      </c>
      <c r="F352" s="140" t="n">
        <f aca="false">F351/F350</f>
        <v>-0.00917431192660551</v>
      </c>
      <c r="G352" s="117" t="n">
        <f aca="false">G351/G350</f>
        <v>-0.0845070422535211</v>
      </c>
      <c r="H352" s="117"/>
      <c r="I352" s="140"/>
      <c r="J352" s="117"/>
      <c r="K352" s="117"/>
      <c r="L352" s="140"/>
      <c r="M352" s="117"/>
      <c r="N352" s="117"/>
      <c r="O352" s="117"/>
      <c r="P352" s="117"/>
      <c r="Q352" s="117"/>
      <c r="R352" s="140"/>
      <c r="S352" s="117" t="n">
        <f aca="false">S351/S350</f>
        <v>-0.011243851018974</v>
      </c>
    </row>
    <row r="353" customFormat="false" ht="12.75" hidden="false" customHeight="false" outlineLevel="0" collapsed="false">
      <c r="A353" s="136"/>
      <c r="B353" s="107" t="n">
        <v>2016</v>
      </c>
      <c r="C353" s="109" t="n">
        <v>2</v>
      </c>
      <c r="D353" s="109" t="n">
        <v>7</v>
      </c>
      <c r="E353" s="109" t="n">
        <v>7</v>
      </c>
      <c r="F353" s="126" t="n">
        <v>2</v>
      </c>
      <c r="G353" s="109" t="n">
        <v>5</v>
      </c>
      <c r="H353" s="109"/>
      <c r="I353" s="126"/>
      <c r="J353" s="109"/>
      <c r="K353" s="109"/>
      <c r="L353" s="126"/>
      <c r="M353" s="109"/>
      <c r="N353" s="109"/>
      <c r="O353" s="109"/>
      <c r="P353" s="109"/>
      <c r="Q353" s="109"/>
      <c r="R353" s="126"/>
      <c r="S353" s="109" t="n">
        <f aca="false">C353+D353+E353+F353+G353</f>
        <v>23</v>
      </c>
    </row>
    <row r="354" customFormat="false" ht="12.75" hidden="false" customHeight="false" outlineLevel="0" collapsed="false">
      <c r="A354" s="175" t="s">
        <v>54</v>
      </c>
      <c r="B354" s="107" t="n">
        <v>2015</v>
      </c>
      <c r="C354" s="109" t="n">
        <v>0</v>
      </c>
      <c r="D354" s="109" t="n">
        <v>11</v>
      </c>
      <c r="E354" s="109" t="n">
        <v>6</v>
      </c>
      <c r="F354" s="126" t="n">
        <v>2</v>
      </c>
      <c r="G354" s="109" t="n">
        <v>3</v>
      </c>
      <c r="H354" s="109"/>
      <c r="I354" s="126"/>
      <c r="J354" s="109"/>
      <c r="K354" s="109"/>
      <c r="L354" s="126"/>
      <c r="M354" s="109"/>
      <c r="N354" s="109"/>
      <c r="O354" s="109"/>
      <c r="P354" s="109"/>
      <c r="Q354" s="109"/>
      <c r="R354" s="126"/>
      <c r="S354" s="109" t="n">
        <f aca="false">C354+D354+E354+F354+G354</f>
        <v>22</v>
      </c>
    </row>
    <row r="355" customFormat="false" ht="12.75" hidden="false" customHeight="false" outlineLevel="0" collapsed="false">
      <c r="A355" s="175" t="s">
        <v>55</v>
      </c>
      <c r="B355" s="112" t="s">
        <v>53</v>
      </c>
      <c r="C355" s="109" t="n">
        <f aca="false">C353-C354</f>
        <v>2</v>
      </c>
      <c r="D355" s="109" t="n">
        <f aca="false">D353-D354</f>
        <v>-4</v>
      </c>
      <c r="E355" s="109" t="n">
        <f aca="false">E353-E354</f>
        <v>1</v>
      </c>
      <c r="F355" s="126" t="n">
        <f aca="false">F353-F354</f>
        <v>0</v>
      </c>
      <c r="G355" s="109" t="n">
        <f aca="false">G353-G354</f>
        <v>2</v>
      </c>
      <c r="H355" s="109"/>
      <c r="I355" s="126"/>
      <c r="J355" s="109"/>
      <c r="K355" s="109"/>
      <c r="L355" s="126"/>
      <c r="M355" s="109"/>
      <c r="N355" s="109"/>
      <c r="O355" s="109"/>
      <c r="P355" s="109"/>
      <c r="Q355" s="109"/>
      <c r="R355" s="126"/>
      <c r="S355" s="109" t="n">
        <f aca="false">S353-S354</f>
        <v>1</v>
      </c>
    </row>
    <row r="356" customFormat="false" ht="13.5" hidden="false" customHeight="false" outlineLevel="0" collapsed="false">
      <c r="A356" s="142"/>
      <c r="B356" s="114" t="s">
        <v>9</v>
      </c>
      <c r="C356" s="117" t="n">
        <v>0</v>
      </c>
      <c r="D356" s="117" t="n">
        <f aca="false">D355/D354</f>
        <v>-0.363636363636364</v>
      </c>
      <c r="E356" s="117" t="n">
        <f aca="false">E355/E354</f>
        <v>0.166666666666667</v>
      </c>
      <c r="F356" s="143" t="n">
        <f aca="false">F355/F354</f>
        <v>0</v>
      </c>
      <c r="G356" s="143" t="n">
        <f aca="false">G355/G354</f>
        <v>0.666666666666667</v>
      </c>
      <c r="H356" s="117"/>
      <c r="I356" s="140"/>
      <c r="J356" s="117"/>
      <c r="K356" s="117"/>
      <c r="L356" s="140"/>
      <c r="M356" s="117"/>
      <c r="N356" s="117"/>
      <c r="O356" s="117"/>
      <c r="P356" s="117"/>
      <c r="Q356" s="117"/>
      <c r="R356" s="140"/>
      <c r="S356" s="117" t="n">
        <f aca="false">S355/S354</f>
        <v>0.0454545454545455</v>
      </c>
    </row>
    <row r="357" customFormat="false" ht="12.75" hidden="false" customHeight="false" outlineLevel="0" collapsed="false">
      <c r="A357" s="144"/>
      <c r="B357" s="107" t="n">
        <v>2016</v>
      </c>
      <c r="C357" s="109" t="n">
        <v>2</v>
      </c>
      <c r="D357" s="109" t="n">
        <v>1</v>
      </c>
      <c r="E357" s="109" t="n">
        <v>3</v>
      </c>
      <c r="F357" s="126" t="n">
        <v>0</v>
      </c>
      <c r="G357" s="109" t="n">
        <v>0</v>
      </c>
      <c r="H357" s="109"/>
      <c r="I357" s="126"/>
      <c r="J357" s="109"/>
      <c r="K357" s="109"/>
      <c r="L357" s="126"/>
      <c r="M357" s="109"/>
      <c r="N357" s="109"/>
      <c r="O357" s="109"/>
      <c r="P357" s="109"/>
      <c r="Q357" s="109"/>
      <c r="R357" s="126"/>
      <c r="S357" s="109" t="n">
        <f aca="false">C357+D357+E357+F357+G357</f>
        <v>6</v>
      </c>
    </row>
    <row r="358" customFormat="false" ht="12.75" hidden="false" customHeight="false" outlineLevel="0" collapsed="false">
      <c r="A358" s="175" t="s">
        <v>56</v>
      </c>
      <c r="B358" s="107" t="n">
        <v>2015</v>
      </c>
      <c r="C358" s="109" t="n">
        <v>2</v>
      </c>
      <c r="D358" s="109" t="n">
        <v>0</v>
      </c>
      <c r="E358" s="109" t="n">
        <v>1</v>
      </c>
      <c r="F358" s="126" t="n">
        <v>0</v>
      </c>
      <c r="G358" s="109" t="n">
        <v>1</v>
      </c>
      <c r="H358" s="109"/>
      <c r="I358" s="126"/>
      <c r="J358" s="109"/>
      <c r="K358" s="109"/>
      <c r="L358" s="126"/>
      <c r="M358" s="109"/>
      <c r="N358" s="109"/>
      <c r="O358" s="109"/>
      <c r="P358" s="109"/>
      <c r="Q358" s="109"/>
      <c r="R358" s="126"/>
      <c r="S358" s="109" t="n">
        <f aca="false">C358+D358+E358+F358+G358</f>
        <v>4</v>
      </c>
    </row>
    <row r="359" customFormat="false" ht="12.75" hidden="false" customHeight="false" outlineLevel="0" collapsed="false">
      <c r="A359" s="175" t="s">
        <v>57</v>
      </c>
      <c r="B359" s="112" t="s">
        <v>53</v>
      </c>
      <c r="C359" s="109" t="n">
        <f aca="false">C357-C358</f>
        <v>0</v>
      </c>
      <c r="D359" s="109" t="n">
        <f aca="false">D357-D358</f>
        <v>1</v>
      </c>
      <c r="E359" s="109" t="n">
        <f aca="false">E357-E358</f>
        <v>2</v>
      </c>
      <c r="F359" s="126" t="n">
        <f aca="false">F357-F358</f>
        <v>0</v>
      </c>
      <c r="G359" s="109" t="n">
        <f aca="false">G357-G358</f>
        <v>-1</v>
      </c>
      <c r="H359" s="109"/>
      <c r="I359" s="126"/>
      <c r="J359" s="109"/>
      <c r="K359" s="109"/>
      <c r="L359" s="126"/>
      <c r="M359" s="109"/>
      <c r="N359" s="109"/>
      <c r="O359" s="109"/>
      <c r="P359" s="109"/>
      <c r="Q359" s="109"/>
      <c r="R359" s="126"/>
      <c r="S359" s="109" t="n">
        <f aca="false">S357-S358</f>
        <v>2</v>
      </c>
    </row>
    <row r="360" customFormat="false" ht="13.5" hidden="false" customHeight="false" outlineLevel="0" collapsed="false">
      <c r="A360" s="142"/>
      <c r="B360" s="114" t="s">
        <v>9</v>
      </c>
      <c r="C360" s="117" t="n">
        <f aca="false">C359/C358</f>
        <v>0</v>
      </c>
      <c r="D360" s="117" t="n">
        <v>0</v>
      </c>
      <c r="E360" s="117" t="n">
        <f aca="false">E359/E358</f>
        <v>2</v>
      </c>
      <c r="F360" s="117" t="n">
        <v>0</v>
      </c>
      <c r="G360" s="117" t="n">
        <f aca="false">G359/G358</f>
        <v>-1</v>
      </c>
      <c r="H360" s="117"/>
      <c r="I360" s="140"/>
      <c r="J360" s="117"/>
      <c r="K360" s="117"/>
      <c r="L360" s="140"/>
      <c r="M360" s="117"/>
      <c r="N360" s="117"/>
      <c r="O360" s="117"/>
      <c r="P360" s="117"/>
      <c r="Q360" s="117"/>
      <c r="R360" s="140"/>
      <c r="S360" s="117" t="n">
        <f aca="false">S359/S358</f>
        <v>0.5</v>
      </c>
    </row>
    <row r="361" customFormat="false" ht="12.75" hidden="false" customHeight="false" outlineLevel="0" collapsed="false">
      <c r="A361" s="144"/>
      <c r="B361" s="107" t="n">
        <v>2016</v>
      </c>
      <c r="C361" s="109" t="n">
        <v>0</v>
      </c>
      <c r="D361" s="109" t="n">
        <v>0</v>
      </c>
      <c r="E361" s="109" t="n">
        <v>0</v>
      </c>
      <c r="F361" s="126" t="n">
        <v>0</v>
      </c>
      <c r="G361" s="109" t="n">
        <v>0</v>
      </c>
      <c r="H361" s="109"/>
      <c r="I361" s="126"/>
      <c r="J361" s="109"/>
      <c r="K361" s="109"/>
      <c r="L361" s="126"/>
      <c r="M361" s="109"/>
      <c r="N361" s="109"/>
      <c r="O361" s="109"/>
      <c r="P361" s="109"/>
      <c r="Q361" s="109"/>
      <c r="R361" s="126"/>
      <c r="S361" s="109" t="n">
        <f aca="false">C361+D361+E361+F361+G361</f>
        <v>0</v>
      </c>
    </row>
    <row r="362" customFormat="false" ht="12.75" hidden="false" customHeight="false" outlineLevel="0" collapsed="false">
      <c r="A362" s="138" t="s">
        <v>58</v>
      </c>
      <c r="B362" s="107" t="n">
        <v>2015</v>
      </c>
      <c r="C362" s="109" t="n">
        <v>0</v>
      </c>
      <c r="D362" s="109" t="n">
        <v>0</v>
      </c>
      <c r="E362" s="109" t="n">
        <v>0</v>
      </c>
      <c r="F362" s="152" t="n">
        <v>0</v>
      </c>
      <c r="G362" s="109" t="n">
        <v>0</v>
      </c>
      <c r="H362" s="109"/>
      <c r="I362" s="126"/>
      <c r="J362" s="109"/>
      <c r="K362" s="109"/>
      <c r="L362" s="126"/>
      <c r="M362" s="109"/>
      <c r="N362" s="109"/>
      <c r="O362" s="109"/>
      <c r="P362" s="109"/>
      <c r="Q362" s="109"/>
      <c r="R362" s="126"/>
      <c r="S362" s="109" t="n">
        <f aca="false">C362+D362+E362+F362+G362</f>
        <v>0</v>
      </c>
    </row>
    <row r="363" customFormat="false" ht="12.75" hidden="false" customHeight="false" outlineLevel="0" collapsed="false">
      <c r="A363" s="138" t="s">
        <v>59</v>
      </c>
      <c r="B363" s="112" t="s">
        <v>53</v>
      </c>
      <c r="C363" s="109" t="n">
        <f aca="false">C361-C362</f>
        <v>0</v>
      </c>
      <c r="D363" s="109" t="n">
        <f aca="false">D361-D362</f>
        <v>0</v>
      </c>
      <c r="E363" s="109" t="n">
        <f aca="false">E361-E362</f>
        <v>0</v>
      </c>
      <c r="F363" s="126" t="n">
        <f aca="false">F361-F362</f>
        <v>0</v>
      </c>
      <c r="G363" s="109" t="n">
        <f aca="false">G361-G362</f>
        <v>0</v>
      </c>
      <c r="H363" s="109"/>
      <c r="I363" s="126"/>
      <c r="J363" s="109"/>
      <c r="K363" s="109"/>
      <c r="L363" s="126"/>
      <c r="M363" s="109"/>
      <c r="N363" s="109"/>
      <c r="O363" s="109"/>
      <c r="P363" s="109"/>
      <c r="Q363" s="109"/>
      <c r="R363" s="126"/>
      <c r="S363" s="109" t="n">
        <f aca="false">S361-S362</f>
        <v>0</v>
      </c>
    </row>
    <row r="364" customFormat="false" ht="13.5" hidden="false" customHeight="false" outlineLevel="0" collapsed="false">
      <c r="A364" s="142"/>
      <c r="B364" s="114" t="s">
        <v>9</v>
      </c>
      <c r="C364" s="143" t="n">
        <v>0</v>
      </c>
      <c r="D364" s="117" t="n">
        <v>0</v>
      </c>
      <c r="E364" s="117" t="n">
        <v>0</v>
      </c>
      <c r="F364" s="143" t="n">
        <v>0</v>
      </c>
      <c r="G364" s="143" t="n">
        <v>0</v>
      </c>
      <c r="H364" s="117"/>
      <c r="I364" s="140"/>
      <c r="J364" s="117"/>
      <c r="K364" s="117"/>
      <c r="L364" s="140"/>
      <c r="M364" s="117"/>
      <c r="N364" s="117"/>
      <c r="O364" s="117"/>
      <c r="P364" s="117"/>
      <c r="Q364" s="117"/>
      <c r="R364" s="140"/>
      <c r="S364" s="117" t="n">
        <v>0</v>
      </c>
    </row>
    <row r="365" customFormat="false" ht="12.75" hidden="false" customHeight="false" outlineLevel="0" collapsed="false">
      <c r="A365" s="144"/>
      <c r="B365" s="107" t="n">
        <v>2016</v>
      </c>
      <c r="C365" s="109" t="n">
        <v>5</v>
      </c>
      <c r="D365" s="109" t="n">
        <f aca="false">32+4</f>
        <v>36</v>
      </c>
      <c r="E365" s="109" t="n">
        <v>20</v>
      </c>
      <c r="F365" s="126" t="n">
        <v>4</v>
      </c>
      <c r="G365" s="109" t="n">
        <v>8</v>
      </c>
      <c r="H365" s="109"/>
      <c r="I365" s="126"/>
      <c r="J365" s="109"/>
      <c r="K365" s="109"/>
      <c r="L365" s="126"/>
      <c r="M365" s="109"/>
      <c r="N365" s="109"/>
      <c r="O365" s="109"/>
      <c r="P365" s="109"/>
      <c r="Q365" s="109"/>
      <c r="R365" s="126"/>
      <c r="S365" s="171" t="n">
        <f aca="false">C365+D365+E365+F365+G365</f>
        <v>73</v>
      </c>
    </row>
    <row r="366" customFormat="false" ht="12.75" hidden="false" customHeight="false" outlineLevel="0" collapsed="false">
      <c r="A366" s="175" t="s">
        <v>60</v>
      </c>
      <c r="B366" s="107" t="n">
        <v>2015</v>
      </c>
      <c r="C366" s="109" t="n">
        <v>10</v>
      </c>
      <c r="D366" s="109" t="n">
        <v>29</v>
      </c>
      <c r="E366" s="109" t="n">
        <v>35</v>
      </c>
      <c r="F366" s="152" t="n">
        <v>3</v>
      </c>
      <c r="G366" s="109" t="n">
        <v>19</v>
      </c>
      <c r="H366" s="109"/>
      <c r="I366" s="126"/>
      <c r="J366" s="109"/>
      <c r="K366" s="109"/>
      <c r="L366" s="126"/>
      <c r="M366" s="109"/>
      <c r="N366" s="109"/>
      <c r="O366" s="109"/>
      <c r="P366" s="109"/>
      <c r="Q366" s="109"/>
      <c r="R366" s="126"/>
      <c r="S366" s="171" t="n">
        <f aca="false">C366+D366+E366+F366+G366</f>
        <v>96</v>
      </c>
    </row>
    <row r="367" customFormat="false" ht="12.75" hidden="false" customHeight="false" outlineLevel="0" collapsed="false">
      <c r="A367" s="144"/>
      <c r="B367" s="112" t="s">
        <v>53</v>
      </c>
      <c r="C367" s="109" t="n">
        <f aca="false">C365-C366</f>
        <v>-5</v>
      </c>
      <c r="D367" s="109" t="n">
        <f aca="false">D365-D366</f>
        <v>7</v>
      </c>
      <c r="E367" s="109" t="n">
        <f aca="false">E365-E366</f>
        <v>-15</v>
      </c>
      <c r="F367" s="126" t="n">
        <f aca="false">F365-F366</f>
        <v>1</v>
      </c>
      <c r="G367" s="109" t="n">
        <f aca="false">G365-G366</f>
        <v>-11</v>
      </c>
      <c r="H367" s="109"/>
      <c r="I367" s="126"/>
      <c r="J367" s="109"/>
      <c r="K367" s="109"/>
      <c r="L367" s="126"/>
      <c r="M367" s="109"/>
      <c r="N367" s="109"/>
      <c r="O367" s="109"/>
      <c r="P367" s="109"/>
      <c r="Q367" s="109"/>
      <c r="R367" s="126"/>
      <c r="S367" s="171" t="n">
        <f aca="false">S365-S366</f>
        <v>-23</v>
      </c>
    </row>
    <row r="368" customFormat="false" ht="13.5" hidden="false" customHeight="false" outlineLevel="0" collapsed="false">
      <c r="A368" s="142"/>
      <c r="B368" s="114" t="s">
        <v>9</v>
      </c>
      <c r="C368" s="117" t="n">
        <f aca="false">C367/C366</f>
        <v>-0.5</v>
      </c>
      <c r="D368" s="143" t="n">
        <f aca="false">D367/D366</f>
        <v>0.241379310344828</v>
      </c>
      <c r="E368" s="143" t="n">
        <f aca="false">E367/E366</f>
        <v>-0.428571428571429</v>
      </c>
      <c r="F368" s="143" t="n">
        <f aca="false">F367/F366</f>
        <v>0.333333333333333</v>
      </c>
      <c r="G368" s="143" t="n">
        <f aca="false">G367/G366</f>
        <v>-0.578947368421053</v>
      </c>
      <c r="H368" s="117"/>
      <c r="I368" s="140"/>
      <c r="J368" s="117"/>
      <c r="K368" s="117"/>
      <c r="L368" s="140"/>
      <c r="M368" s="117"/>
      <c r="N368" s="117"/>
      <c r="O368" s="117"/>
      <c r="P368" s="117"/>
      <c r="Q368" s="117"/>
      <c r="R368" s="140"/>
      <c r="S368" s="190" t="n">
        <f aca="false">S367/S366</f>
        <v>-0.239583333333333</v>
      </c>
    </row>
    <row r="369" customFormat="false" ht="12.75" hidden="false" customHeight="false" outlineLevel="0" collapsed="false">
      <c r="A369" s="144"/>
      <c r="B369" s="107" t="n">
        <v>2016</v>
      </c>
      <c r="C369" s="109" t="n">
        <v>24</v>
      </c>
      <c r="D369" s="109" t="n">
        <f aca="false">65+5</f>
        <v>70</v>
      </c>
      <c r="E369" s="109" t="n">
        <f aca="false">38+12</f>
        <v>50</v>
      </c>
      <c r="F369" s="126" t="n">
        <v>13</v>
      </c>
      <c r="G369" s="109" t="n">
        <v>35</v>
      </c>
      <c r="H369" s="109"/>
      <c r="I369" s="126"/>
      <c r="J369" s="109"/>
      <c r="K369" s="109"/>
      <c r="L369" s="126"/>
      <c r="M369" s="109"/>
      <c r="N369" s="109"/>
      <c r="O369" s="109"/>
      <c r="P369" s="109"/>
      <c r="Q369" s="109"/>
      <c r="R369" s="126"/>
      <c r="S369" s="171" t="n">
        <f aca="false">C369+D369+E369+F369+G369</f>
        <v>192</v>
      </c>
    </row>
    <row r="370" customFormat="false" ht="12.75" hidden="false" customHeight="false" outlineLevel="0" collapsed="false">
      <c r="A370" s="175" t="s">
        <v>61</v>
      </c>
      <c r="B370" s="107" t="n">
        <v>2015</v>
      </c>
      <c r="C370" s="109" t="n">
        <v>39</v>
      </c>
      <c r="D370" s="109" t="n">
        <v>59</v>
      </c>
      <c r="E370" s="109" t="n">
        <v>53</v>
      </c>
      <c r="F370" s="126" t="n">
        <v>19</v>
      </c>
      <c r="G370" s="109" t="n">
        <v>36</v>
      </c>
      <c r="H370" s="109"/>
      <c r="I370" s="126"/>
      <c r="J370" s="109"/>
      <c r="K370" s="109"/>
      <c r="L370" s="126"/>
      <c r="M370" s="109"/>
      <c r="N370" s="109"/>
      <c r="O370" s="109"/>
      <c r="P370" s="109"/>
      <c r="Q370" s="109"/>
      <c r="R370" s="126"/>
      <c r="S370" s="171" t="n">
        <f aca="false">C370+D370+E370+F370+G370</f>
        <v>206</v>
      </c>
    </row>
    <row r="371" customFormat="false" ht="12.75" hidden="false" customHeight="false" outlineLevel="0" collapsed="false">
      <c r="A371" s="175" t="s">
        <v>62</v>
      </c>
      <c r="B371" s="112" t="s">
        <v>53</v>
      </c>
      <c r="C371" s="109" t="n">
        <f aca="false">C369-C370</f>
        <v>-15</v>
      </c>
      <c r="D371" s="109" t="n">
        <f aca="false">D369-D370</f>
        <v>11</v>
      </c>
      <c r="E371" s="109" t="n">
        <f aca="false">E369-E370</f>
        <v>-3</v>
      </c>
      <c r="F371" s="109" t="n">
        <f aca="false">F369-F370</f>
        <v>-6</v>
      </c>
      <c r="G371" s="109" t="n">
        <f aca="false">G369-G370</f>
        <v>-1</v>
      </c>
      <c r="H371" s="109"/>
      <c r="I371" s="109"/>
      <c r="J371" s="109"/>
      <c r="K371" s="109"/>
      <c r="L371" s="126"/>
      <c r="M371" s="109"/>
      <c r="N371" s="109"/>
      <c r="O371" s="109"/>
      <c r="P371" s="109"/>
      <c r="Q371" s="109"/>
      <c r="R371" s="126"/>
      <c r="S371" s="171" t="n">
        <f aca="false">S369-S370</f>
        <v>-14</v>
      </c>
    </row>
    <row r="372" customFormat="false" ht="13.5" hidden="false" customHeight="false" outlineLevel="0" collapsed="false">
      <c r="A372" s="142"/>
      <c r="B372" s="114" t="s">
        <v>9</v>
      </c>
      <c r="C372" s="143" t="n">
        <f aca="false">C371/C370</f>
        <v>-0.384615384615385</v>
      </c>
      <c r="D372" s="143" t="n">
        <f aca="false">D371/D370</f>
        <v>0.186440677966102</v>
      </c>
      <c r="E372" s="117" t="n">
        <f aca="false">E371/E370</f>
        <v>-0.0566037735849057</v>
      </c>
      <c r="F372" s="143" t="n">
        <f aca="false">F371/F370</f>
        <v>-0.315789473684211</v>
      </c>
      <c r="G372" s="117" t="n">
        <f aca="false">G371/G370</f>
        <v>-0.0277777777777778</v>
      </c>
      <c r="H372" s="117"/>
      <c r="I372" s="140"/>
      <c r="J372" s="117"/>
      <c r="K372" s="117"/>
      <c r="L372" s="140"/>
      <c r="M372" s="117"/>
      <c r="N372" s="117"/>
      <c r="O372" s="117"/>
      <c r="P372" s="117"/>
      <c r="Q372" s="117"/>
      <c r="R372" s="140"/>
      <c r="S372" s="190" t="n">
        <f aca="false">S371/S370</f>
        <v>-0.0679611650485437</v>
      </c>
    </row>
    <row r="373" customFormat="false" ht="12.75" hidden="false" customHeight="false" outlineLevel="0" collapsed="false">
      <c r="A373" s="144"/>
      <c r="B373" s="107" t="n">
        <v>2016</v>
      </c>
      <c r="C373" s="109" t="n">
        <v>37</v>
      </c>
      <c r="D373" s="109" t="n">
        <f aca="false">68+4</f>
        <v>72</v>
      </c>
      <c r="E373" s="109" t="n">
        <f aca="false">118+9</f>
        <v>127</v>
      </c>
      <c r="F373" s="126" t="n">
        <v>19</v>
      </c>
      <c r="G373" s="109" t="n">
        <v>42</v>
      </c>
      <c r="H373" s="109"/>
      <c r="I373" s="126"/>
      <c r="J373" s="109"/>
      <c r="K373" s="109"/>
      <c r="L373" s="126"/>
      <c r="M373" s="109"/>
      <c r="N373" s="109"/>
      <c r="O373" s="109"/>
      <c r="P373" s="109"/>
      <c r="Q373" s="109"/>
      <c r="R373" s="126"/>
      <c r="S373" s="109" t="n">
        <f aca="false">C373+D373+E373+F373+G373</f>
        <v>297</v>
      </c>
    </row>
    <row r="374" customFormat="false" ht="12.75" hidden="false" customHeight="false" outlineLevel="0" collapsed="false">
      <c r="A374" s="175" t="s">
        <v>63</v>
      </c>
      <c r="B374" s="107" t="n">
        <v>2015</v>
      </c>
      <c r="C374" s="109" t="n">
        <v>34</v>
      </c>
      <c r="D374" s="109" t="n">
        <v>44</v>
      </c>
      <c r="E374" s="109" t="n">
        <v>103</v>
      </c>
      <c r="F374" s="126" t="n">
        <v>23</v>
      </c>
      <c r="G374" s="109" t="n">
        <v>42</v>
      </c>
      <c r="H374" s="109"/>
      <c r="I374" s="126"/>
      <c r="J374" s="109"/>
      <c r="K374" s="109"/>
      <c r="L374" s="126"/>
      <c r="M374" s="109"/>
      <c r="N374" s="109"/>
      <c r="O374" s="109"/>
      <c r="P374" s="109"/>
      <c r="Q374" s="109"/>
      <c r="R374" s="126"/>
      <c r="S374" s="109" t="n">
        <f aca="false">C374+D374+E374+F374+G374</f>
        <v>246</v>
      </c>
    </row>
    <row r="375" customFormat="false" ht="12.75" hidden="false" customHeight="false" outlineLevel="0" collapsed="false">
      <c r="A375" s="144"/>
      <c r="B375" s="112" t="s">
        <v>53</v>
      </c>
      <c r="C375" s="109" t="n">
        <f aca="false">C373-C374</f>
        <v>3</v>
      </c>
      <c r="D375" s="109" t="n">
        <f aca="false">D373-D374</f>
        <v>28</v>
      </c>
      <c r="E375" s="109" t="n">
        <f aca="false">E373-E374</f>
        <v>24</v>
      </c>
      <c r="F375" s="126" t="n">
        <f aca="false">F373-F374</f>
        <v>-4</v>
      </c>
      <c r="G375" s="109" t="n">
        <f aca="false">G373-G374</f>
        <v>0</v>
      </c>
      <c r="H375" s="109"/>
      <c r="I375" s="126"/>
      <c r="J375" s="109"/>
      <c r="K375" s="109"/>
      <c r="L375" s="126"/>
      <c r="M375" s="109"/>
      <c r="N375" s="109"/>
      <c r="O375" s="109"/>
      <c r="P375" s="109"/>
      <c r="Q375" s="109"/>
      <c r="R375" s="126"/>
      <c r="S375" s="109" t="n">
        <f aca="false">S373-S374</f>
        <v>51</v>
      </c>
    </row>
    <row r="376" customFormat="false" ht="13.5" hidden="false" customHeight="false" outlineLevel="0" collapsed="false">
      <c r="A376" s="142"/>
      <c r="B376" s="114" t="s">
        <v>9</v>
      </c>
      <c r="C376" s="117" t="n">
        <f aca="false">C375/C374</f>
        <v>0.0882352941176471</v>
      </c>
      <c r="D376" s="117" t="n">
        <f aca="false">D375/D374</f>
        <v>0.636363636363636</v>
      </c>
      <c r="E376" s="117" t="n">
        <f aca="false">E375/E374</f>
        <v>0.233009708737864</v>
      </c>
      <c r="F376" s="140" t="n">
        <f aca="false">F375/F374</f>
        <v>-0.173913043478261</v>
      </c>
      <c r="G376" s="117" t="n">
        <f aca="false">G375/G374</f>
        <v>0</v>
      </c>
      <c r="H376" s="117"/>
      <c r="I376" s="140"/>
      <c r="J376" s="117"/>
      <c r="K376" s="117"/>
      <c r="L376" s="140"/>
      <c r="M376" s="117"/>
      <c r="N376" s="117"/>
      <c r="O376" s="117"/>
      <c r="P376" s="117"/>
      <c r="Q376" s="117"/>
      <c r="R376" s="140"/>
      <c r="S376" s="117" t="n">
        <f aca="false">S375/S374</f>
        <v>0.207317073170732</v>
      </c>
    </row>
    <row r="377" customFormat="false" ht="12.75" hidden="false" customHeight="false" outlineLevel="0" collapsed="false">
      <c r="A377" s="144"/>
      <c r="B377" s="107" t="n">
        <v>2016</v>
      </c>
      <c r="C377" s="109" t="n">
        <f aca="false">41+5</f>
        <v>46</v>
      </c>
      <c r="D377" s="109" t="n">
        <f aca="false">249+18</f>
        <v>267</v>
      </c>
      <c r="E377" s="109" t="n">
        <f aca="false">198+18</f>
        <v>216</v>
      </c>
      <c r="F377" s="126" t="n">
        <v>70</v>
      </c>
      <c r="G377" s="109" t="n">
        <f aca="false">147+14</f>
        <v>161</v>
      </c>
      <c r="H377" s="109"/>
      <c r="I377" s="126"/>
      <c r="J377" s="109"/>
      <c r="K377" s="109"/>
      <c r="L377" s="126"/>
      <c r="M377" s="109"/>
      <c r="N377" s="109"/>
      <c r="O377" s="109"/>
      <c r="P377" s="109"/>
      <c r="Q377" s="109"/>
      <c r="R377" s="126"/>
      <c r="S377" s="109" t="n">
        <f aca="false">C377+D377+E377+F377+G377</f>
        <v>760</v>
      </c>
    </row>
    <row r="378" customFormat="false" ht="12.75" hidden="false" customHeight="false" outlineLevel="0" collapsed="false">
      <c r="A378" s="175" t="s">
        <v>64</v>
      </c>
      <c r="B378" s="107" t="n">
        <v>2015</v>
      </c>
      <c r="C378" s="109" t="n">
        <v>53</v>
      </c>
      <c r="D378" s="109" t="n">
        <v>239</v>
      </c>
      <c r="E378" s="109" t="n">
        <v>239</v>
      </c>
      <c r="F378" s="126" t="n">
        <v>62</v>
      </c>
      <c r="G378" s="109" t="n">
        <v>173</v>
      </c>
      <c r="H378" s="109"/>
      <c r="I378" s="126"/>
      <c r="J378" s="109"/>
      <c r="K378" s="109"/>
      <c r="L378" s="126"/>
      <c r="M378" s="109"/>
      <c r="N378" s="109"/>
      <c r="O378" s="109"/>
      <c r="P378" s="109"/>
      <c r="Q378" s="109"/>
      <c r="R378" s="126"/>
      <c r="S378" s="109" t="n">
        <f aca="false">C378+D378+E378+F378+G378</f>
        <v>766</v>
      </c>
    </row>
    <row r="379" customFormat="false" ht="12.75" hidden="false" customHeight="false" outlineLevel="0" collapsed="false">
      <c r="A379" s="175" t="s">
        <v>65</v>
      </c>
      <c r="B379" s="112" t="s">
        <v>53</v>
      </c>
      <c r="C379" s="109" t="n">
        <f aca="false">C377-C378</f>
        <v>-7</v>
      </c>
      <c r="D379" s="109" t="n">
        <f aca="false">D377-D378</f>
        <v>28</v>
      </c>
      <c r="E379" s="109" t="n">
        <f aca="false">E377-E378</f>
        <v>-23</v>
      </c>
      <c r="F379" s="109" t="n">
        <f aca="false">F377-F378</f>
        <v>8</v>
      </c>
      <c r="G379" s="109" t="n">
        <f aca="false">G377-G378</f>
        <v>-12</v>
      </c>
      <c r="H379" s="109"/>
      <c r="I379" s="109"/>
      <c r="J379" s="109"/>
      <c r="K379" s="109"/>
      <c r="L379" s="126"/>
      <c r="M379" s="109"/>
      <c r="N379" s="109"/>
      <c r="O379" s="109"/>
      <c r="P379" s="109"/>
      <c r="Q379" s="109"/>
      <c r="R379" s="126"/>
      <c r="S379" s="109" t="n">
        <f aca="false">S377-S378</f>
        <v>-6</v>
      </c>
    </row>
    <row r="380" customFormat="false" ht="13.5" hidden="false" customHeight="false" outlineLevel="0" collapsed="false">
      <c r="A380" s="142"/>
      <c r="B380" s="114" t="s">
        <v>9</v>
      </c>
      <c r="C380" s="117" t="n">
        <f aca="false">C379/C378</f>
        <v>-0.132075471698113</v>
      </c>
      <c r="D380" s="117" t="n">
        <f aca="false">D379/D378</f>
        <v>0.117154811715481</v>
      </c>
      <c r="E380" s="117" t="n">
        <f aca="false">E379/E378</f>
        <v>-0.096234309623431</v>
      </c>
      <c r="F380" s="117" t="n">
        <f aca="false">F379/F378</f>
        <v>0.129032258064516</v>
      </c>
      <c r="G380" s="117" t="n">
        <f aca="false">G379/G378</f>
        <v>-0.069364161849711</v>
      </c>
      <c r="H380" s="117"/>
      <c r="I380" s="140"/>
      <c r="J380" s="117"/>
      <c r="K380" s="117"/>
      <c r="L380" s="140"/>
      <c r="M380" s="117"/>
      <c r="N380" s="117"/>
      <c r="O380" s="117"/>
      <c r="P380" s="117"/>
      <c r="Q380" s="117"/>
      <c r="R380" s="140"/>
      <c r="S380" s="117" t="n">
        <f aca="false">S379/S378</f>
        <v>-0.00783289817232376</v>
      </c>
    </row>
    <row r="381" customFormat="false" ht="12.75" hidden="false" customHeight="false" outlineLevel="0" collapsed="false">
      <c r="A381" s="144"/>
      <c r="B381" s="107" t="n">
        <v>2016</v>
      </c>
      <c r="C381" s="109" t="n">
        <v>2</v>
      </c>
      <c r="D381" s="188" t="n">
        <f aca="false">34+4</f>
        <v>38</v>
      </c>
      <c r="E381" s="188" t="n">
        <v>7</v>
      </c>
      <c r="F381" s="126" t="n">
        <v>0</v>
      </c>
      <c r="G381" s="109" t="n">
        <v>9</v>
      </c>
      <c r="H381" s="109"/>
      <c r="I381" s="126"/>
      <c r="J381" s="109"/>
      <c r="K381" s="109"/>
      <c r="L381" s="126"/>
      <c r="M381" s="109"/>
      <c r="N381" s="109"/>
      <c r="O381" s="109"/>
      <c r="P381" s="109"/>
      <c r="Q381" s="109"/>
      <c r="R381" s="126"/>
      <c r="S381" s="109" t="n">
        <f aca="false">C381+D381+E381+F381+G381</f>
        <v>56</v>
      </c>
    </row>
    <row r="382" customFormat="false" ht="12.75" hidden="false" customHeight="false" outlineLevel="0" collapsed="false">
      <c r="A382" s="175" t="s">
        <v>66</v>
      </c>
      <c r="B382" s="107" t="n">
        <v>2015</v>
      </c>
      <c r="C382" s="109" t="n">
        <v>3</v>
      </c>
      <c r="D382" s="109" t="n">
        <v>57</v>
      </c>
      <c r="E382" s="109" t="n">
        <v>13</v>
      </c>
      <c r="F382" s="126" t="n">
        <v>0</v>
      </c>
      <c r="G382" s="109" t="n">
        <v>10</v>
      </c>
      <c r="H382" s="109"/>
      <c r="I382" s="126"/>
      <c r="J382" s="109"/>
      <c r="K382" s="109"/>
      <c r="L382" s="126"/>
      <c r="M382" s="109"/>
      <c r="N382" s="109"/>
      <c r="O382" s="109"/>
      <c r="P382" s="109"/>
      <c r="Q382" s="109"/>
      <c r="R382" s="126"/>
      <c r="S382" s="109" t="n">
        <f aca="false">C382+D382+E382+F382+G382</f>
        <v>83</v>
      </c>
    </row>
    <row r="383" customFormat="false" ht="12.75" hidden="false" customHeight="false" outlineLevel="0" collapsed="false">
      <c r="A383" s="175" t="s">
        <v>67</v>
      </c>
      <c r="B383" s="112" t="s">
        <v>53</v>
      </c>
      <c r="C383" s="109" t="n">
        <f aca="false">C381-C382</f>
        <v>-1</v>
      </c>
      <c r="D383" s="109" t="n">
        <f aca="false">D381-D382</f>
        <v>-19</v>
      </c>
      <c r="E383" s="109" t="n">
        <f aca="false">E381-E382</f>
        <v>-6</v>
      </c>
      <c r="F383" s="126" t="n">
        <f aca="false">F381-F382</f>
        <v>0</v>
      </c>
      <c r="G383" s="109" t="n">
        <f aca="false">G381-G382</f>
        <v>-1</v>
      </c>
      <c r="H383" s="109"/>
      <c r="I383" s="126"/>
      <c r="J383" s="109"/>
      <c r="K383" s="109"/>
      <c r="L383" s="126"/>
      <c r="M383" s="109"/>
      <c r="N383" s="109"/>
      <c r="O383" s="109"/>
      <c r="P383" s="109"/>
      <c r="Q383" s="109"/>
      <c r="R383" s="126"/>
      <c r="S383" s="109" t="n">
        <f aca="false">S381-S382</f>
        <v>-27</v>
      </c>
    </row>
    <row r="384" customFormat="false" ht="13.5" hidden="false" customHeight="false" outlineLevel="0" collapsed="false">
      <c r="A384" s="142"/>
      <c r="B384" s="114" t="s">
        <v>9</v>
      </c>
      <c r="C384" s="117" t="n">
        <f aca="false">C383/C382</f>
        <v>-0.333333333333333</v>
      </c>
      <c r="D384" s="117" t="n">
        <f aca="false">D383/D382</f>
        <v>-0.333333333333333</v>
      </c>
      <c r="E384" s="117" t="n">
        <f aca="false">E383/E382</f>
        <v>-0.461538461538462</v>
      </c>
      <c r="F384" s="117" t="n">
        <v>0</v>
      </c>
      <c r="G384" s="117" t="n">
        <f aca="false">G383/G382</f>
        <v>-0.1</v>
      </c>
      <c r="H384" s="117"/>
      <c r="I384" s="140"/>
      <c r="J384" s="117"/>
      <c r="K384" s="117"/>
      <c r="L384" s="140"/>
      <c r="M384" s="117"/>
      <c r="N384" s="117"/>
      <c r="O384" s="117"/>
      <c r="P384" s="117"/>
      <c r="Q384" s="117"/>
      <c r="R384" s="140"/>
      <c r="S384" s="117" t="n">
        <f aca="false">S383/S382</f>
        <v>-0.325301204819277</v>
      </c>
    </row>
    <row r="385" customFormat="false" ht="13.5" hidden="false" customHeight="false" outlineLevel="0" collapsed="false">
      <c r="A385" s="154" t="s">
        <v>163</v>
      </c>
      <c r="B385" s="124"/>
      <c r="C385" s="125"/>
      <c r="D385" s="125"/>
      <c r="E385" s="125"/>
      <c r="F385" s="125"/>
      <c r="G385" s="125"/>
      <c r="H385" s="125"/>
      <c r="I385" s="125"/>
      <c r="J385" s="125"/>
      <c r="K385" s="125"/>
      <c r="L385" s="125"/>
      <c r="M385" s="125"/>
      <c r="N385" s="125"/>
      <c r="O385" s="125"/>
      <c r="P385" s="125"/>
      <c r="Q385" s="125"/>
      <c r="R385" s="125"/>
      <c r="S385" s="125"/>
    </row>
    <row r="386" customFormat="false" ht="23.25" hidden="false" customHeight="false" outlineLevel="0" collapsed="false">
      <c r="A386" s="127"/>
      <c r="B386" s="128"/>
      <c r="C386" s="129" t="s">
        <v>164</v>
      </c>
      <c r="D386" s="130" t="s">
        <v>165</v>
      </c>
      <c r="E386" s="132" t="s">
        <v>166</v>
      </c>
      <c r="F386" s="130" t="s">
        <v>167</v>
      </c>
      <c r="G386" s="129" t="s">
        <v>168</v>
      </c>
      <c r="H386" s="129" t="s">
        <v>169</v>
      </c>
      <c r="I386" s="132" t="s">
        <v>170</v>
      </c>
      <c r="J386" s="135"/>
      <c r="K386" s="134"/>
      <c r="L386" s="135"/>
      <c r="M386" s="134"/>
      <c r="N386" s="134"/>
      <c r="O386" s="134"/>
      <c r="P386" s="134"/>
      <c r="Q386" s="134"/>
      <c r="R386" s="135"/>
      <c r="S386" s="134" t="s">
        <v>51</v>
      </c>
    </row>
    <row r="387" customFormat="false" ht="12.75" hidden="false" customHeight="false" outlineLevel="0" collapsed="false">
      <c r="A387" s="136"/>
      <c r="B387" s="107" t="n">
        <v>2016</v>
      </c>
      <c r="C387" s="109" t="n">
        <f aca="false">C391+C395+C403+C407+C411+C415+C419</f>
        <v>198</v>
      </c>
      <c r="D387" s="109" t="n">
        <f aca="false">D391+D395+D403+D407+D411+D415+D419</f>
        <v>393</v>
      </c>
      <c r="E387" s="109" t="n">
        <f aca="false">E391+E395+E403+E407+E411+E415+E419</f>
        <v>123</v>
      </c>
      <c r="F387" s="109" t="n">
        <f aca="false">F391+F395+F403+F407+F411+F415+F419</f>
        <v>312</v>
      </c>
      <c r="G387" s="109" t="n">
        <f aca="false">G391+G395+G403+G407+G411+G415+G419</f>
        <v>130</v>
      </c>
      <c r="H387" s="109" t="n">
        <f aca="false">H391+H395+H403+H407+H411+H415+H419</f>
        <v>122</v>
      </c>
      <c r="I387" s="109" t="n">
        <f aca="false">I391+I395+I403+I407+I411+I415+I419</f>
        <v>243</v>
      </c>
      <c r="J387" s="137"/>
      <c r="K387" s="109"/>
      <c r="L387" s="109"/>
      <c r="M387" s="109"/>
      <c r="N387" s="109"/>
      <c r="O387" s="109"/>
      <c r="P387" s="109"/>
      <c r="Q387" s="109"/>
      <c r="R387" s="137"/>
      <c r="S387" s="109" t="n">
        <f aca="false">S391+S395+S403+S407+S411+S415+S419</f>
        <v>1521</v>
      </c>
    </row>
    <row r="388" customFormat="false" ht="12.75" hidden="false" customHeight="false" outlineLevel="0" collapsed="false">
      <c r="A388" s="138" t="s">
        <v>52</v>
      </c>
      <c r="B388" s="107" t="n">
        <v>2015</v>
      </c>
      <c r="C388" s="109" t="n">
        <f aca="false">C392+C396+C404+C408+C412+C416+C420</f>
        <v>161</v>
      </c>
      <c r="D388" s="109" t="n">
        <f aca="false">D392+D396+D404+D408+D412+D416+D420</f>
        <v>400</v>
      </c>
      <c r="E388" s="109" t="n">
        <f aca="false">E392+E396+E404+E408+E412+E416+E420</f>
        <v>156</v>
      </c>
      <c r="F388" s="109" t="n">
        <f aca="false">F392+F396+F404+F408+F412+F416+F420</f>
        <v>350</v>
      </c>
      <c r="G388" s="109" t="n">
        <f aca="false">G392+G396+G404+G408+G412+G416+G420</f>
        <v>212</v>
      </c>
      <c r="H388" s="109" t="n">
        <f aca="false">H392+H396+H404+H408+H412+H416+H420</f>
        <v>129</v>
      </c>
      <c r="I388" s="109" t="n">
        <f aca="false">I392+I396+I404+I408+I412+I416+I420</f>
        <v>263</v>
      </c>
      <c r="J388" s="137"/>
      <c r="K388" s="109"/>
      <c r="L388" s="109"/>
      <c r="M388" s="109"/>
      <c r="N388" s="109"/>
      <c r="O388" s="109"/>
      <c r="P388" s="109"/>
      <c r="Q388" s="109"/>
      <c r="R388" s="137"/>
      <c r="S388" s="109" t="n">
        <f aca="false">S392+S396+S404+S408+S412+S416+S420</f>
        <v>1671</v>
      </c>
    </row>
    <row r="389" customFormat="false" ht="12.75" hidden="false" customHeight="false" outlineLevel="0" collapsed="false">
      <c r="A389" s="136"/>
      <c r="B389" s="112" t="s">
        <v>53</v>
      </c>
      <c r="C389" s="109" t="n">
        <f aca="false">C387-C388</f>
        <v>37</v>
      </c>
      <c r="D389" s="126" t="n">
        <f aca="false">D387-D388</f>
        <v>-7</v>
      </c>
      <c r="E389" s="109" t="n">
        <f aca="false">E387-E388</f>
        <v>-33</v>
      </c>
      <c r="F389" s="126" t="n">
        <f aca="false">F387-F388</f>
        <v>-38</v>
      </c>
      <c r="G389" s="109" t="n">
        <f aca="false">G387-G388</f>
        <v>-82</v>
      </c>
      <c r="H389" s="109" t="n">
        <f aca="false">H387-H388</f>
        <v>-7</v>
      </c>
      <c r="I389" s="109" t="n">
        <f aca="false">I387-I388</f>
        <v>-20</v>
      </c>
      <c r="J389" s="126"/>
      <c r="K389" s="109"/>
      <c r="L389" s="126"/>
      <c r="M389" s="109"/>
      <c r="N389" s="109"/>
      <c r="O389" s="109"/>
      <c r="P389" s="109"/>
      <c r="Q389" s="109"/>
      <c r="R389" s="126"/>
      <c r="S389" s="109" t="n">
        <f aca="false">S387-S388</f>
        <v>-150</v>
      </c>
    </row>
    <row r="390" customFormat="false" ht="13.5" hidden="false" customHeight="false" outlineLevel="0" collapsed="false">
      <c r="A390" s="139"/>
      <c r="B390" s="114" t="s">
        <v>9</v>
      </c>
      <c r="C390" s="117" t="n">
        <f aca="false">C389/C388</f>
        <v>0.229813664596273</v>
      </c>
      <c r="D390" s="140" t="n">
        <f aca="false">D389/D388</f>
        <v>-0.0175</v>
      </c>
      <c r="E390" s="117" t="n">
        <f aca="false">E389/E388</f>
        <v>-0.211538461538462</v>
      </c>
      <c r="F390" s="140" t="n">
        <f aca="false">F389/F388</f>
        <v>-0.108571428571429</v>
      </c>
      <c r="G390" s="117" t="n">
        <f aca="false">G389/G388</f>
        <v>-0.386792452830189</v>
      </c>
      <c r="H390" s="117" t="n">
        <f aca="false">H389/H388</f>
        <v>-0.0542635658914729</v>
      </c>
      <c r="I390" s="117" t="n">
        <f aca="false">I389/I388</f>
        <v>-0.0760456273764259</v>
      </c>
      <c r="J390" s="140"/>
      <c r="K390" s="117"/>
      <c r="L390" s="140"/>
      <c r="M390" s="117"/>
      <c r="N390" s="117"/>
      <c r="O390" s="117"/>
      <c r="P390" s="117"/>
      <c r="Q390" s="117"/>
      <c r="R390" s="140"/>
      <c r="S390" s="117" t="n">
        <f aca="false">S389/S388</f>
        <v>-0.0897666068222621</v>
      </c>
    </row>
    <row r="391" customFormat="false" ht="12.75" hidden="false" customHeight="false" outlineLevel="0" collapsed="false">
      <c r="A391" s="136"/>
      <c r="B391" s="107" t="n">
        <v>2016</v>
      </c>
      <c r="C391" s="109" t="n">
        <v>2</v>
      </c>
      <c r="D391" s="126" t="n">
        <v>7</v>
      </c>
      <c r="E391" s="109" t="n">
        <v>1</v>
      </c>
      <c r="F391" s="126" t="n">
        <v>5</v>
      </c>
      <c r="G391" s="109" t="n">
        <v>1</v>
      </c>
      <c r="H391" s="109" t="n">
        <v>1</v>
      </c>
      <c r="I391" s="109" t="n">
        <v>1</v>
      </c>
      <c r="J391" s="126"/>
      <c r="K391" s="109"/>
      <c r="L391" s="126"/>
      <c r="M391" s="109"/>
      <c r="N391" s="109"/>
      <c r="O391" s="109"/>
      <c r="P391" s="109"/>
      <c r="Q391" s="109"/>
      <c r="R391" s="126"/>
      <c r="S391" s="109" t="n">
        <f aca="false">C391+D391+E391+F391+G391+H391+I391</f>
        <v>18</v>
      </c>
    </row>
    <row r="392" customFormat="false" ht="12.75" hidden="false" customHeight="false" outlineLevel="0" collapsed="false">
      <c r="A392" s="175" t="s">
        <v>54</v>
      </c>
      <c r="B392" s="107" t="n">
        <v>2015</v>
      </c>
      <c r="C392" s="109" t="n">
        <v>0</v>
      </c>
      <c r="D392" s="126" t="n">
        <v>2</v>
      </c>
      <c r="E392" s="109" t="n">
        <v>1</v>
      </c>
      <c r="F392" s="126" t="n">
        <v>0</v>
      </c>
      <c r="G392" s="109" t="n">
        <v>4</v>
      </c>
      <c r="H392" s="109" t="n">
        <v>0</v>
      </c>
      <c r="I392" s="109" t="n">
        <v>1</v>
      </c>
      <c r="J392" s="126"/>
      <c r="K392" s="109"/>
      <c r="L392" s="126"/>
      <c r="M392" s="109"/>
      <c r="N392" s="109"/>
      <c r="O392" s="109"/>
      <c r="P392" s="109"/>
      <c r="Q392" s="109"/>
      <c r="R392" s="126"/>
      <c r="S392" s="109" t="n">
        <f aca="false">C392+D392+E392+F392+G392+H392+I392</f>
        <v>8</v>
      </c>
    </row>
    <row r="393" customFormat="false" ht="12.75" hidden="false" customHeight="false" outlineLevel="0" collapsed="false">
      <c r="A393" s="175" t="s">
        <v>55</v>
      </c>
      <c r="B393" s="112" t="s">
        <v>53</v>
      </c>
      <c r="C393" s="109" t="n">
        <f aca="false">C391-C392</f>
        <v>2</v>
      </c>
      <c r="D393" s="126" t="n">
        <f aca="false">D391-D392</f>
        <v>5</v>
      </c>
      <c r="E393" s="109" t="n">
        <f aca="false">E391-E392</f>
        <v>0</v>
      </c>
      <c r="F393" s="126" t="n">
        <f aca="false">F391-F392</f>
        <v>5</v>
      </c>
      <c r="G393" s="109" t="n">
        <f aca="false">G391-G392</f>
        <v>-3</v>
      </c>
      <c r="H393" s="109" t="n">
        <f aca="false">H391-H392</f>
        <v>1</v>
      </c>
      <c r="I393" s="109" t="n">
        <f aca="false">I391-I392</f>
        <v>0</v>
      </c>
      <c r="J393" s="126"/>
      <c r="K393" s="109"/>
      <c r="L393" s="126"/>
      <c r="M393" s="109"/>
      <c r="N393" s="109"/>
      <c r="O393" s="109"/>
      <c r="P393" s="109"/>
      <c r="Q393" s="109"/>
      <c r="R393" s="126"/>
      <c r="S393" s="109" t="n">
        <f aca="false">S391-S392</f>
        <v>10</v>
      </c>
    </row>
    <row r="394" customFormat="false" ht="13.5" hidden="false" customHeight="false" outlineLevel="0" collapsed="false">
      <c r="A394" s="142"/>
      <c r="B394" s="114" t="s">
        <v>9</v>
      </c>
      <c r="C394" s="117" t="n">
        <v>0</v>
      </c>
      <c r="D394" s="117" t="n">
        <f aca="false">D393/D392</f>
        <v>2.5</v>
      </c>
      <c r="E394" s="117" t="n">
        <v>0</v>
      </c>
      <c r="F394" s="117" t="n">
        <v>0</v>
      </c>
      <c r="G394" s="117" t="n">
        <f aca="false">G393/G392</f>
        <v>-0.75</v>
      </c>
      <c r="H394" s="117" t="n">
        <v>0</v>
      </c>
      <c r="I394" s="117" t="n">
        <f aca="false">I393/I392</f>
        <v>0</v>
      </c>
      <c r="J394" s="143"/>
      <c r="K394" s="117"/>
      <c r="L394" s="140"/>
      <c r="M394" s="117"/>
      <c r="N394" s="117"/>
      <c r="O394" s="117"/>
      <c r="P394" s="117"/>
      <c r="Q394" s="117"/>
      <c r="R394" s="140"/>
      <c r="S394" s="117" t="n">
        <f aca="false">S393/S392</f>
        <v>1.25</v>
      </c>
    </row>
    <row r="395" customFormat="false" ht="12.75" hidden="false" customHeight="false" outlineLevel="0" collapsed="false">
      <c r="A395" s="144"/>
      <c r="B395" s="107" t="n">
        <v>2016</v>
      </c>
      <c r="C395" s="109" t="n">
        <v>1</v>
      </c>
      <c r="D395" s="126" t="n">
        <v>0</v>
      </c>
      <c r="E395" s="109" t="n">
        <v>1</v>
      </c>
      <c r="F395" s="126" t="n">
        <v>1</v>
      </c>
      <c r="G395" s="109" t="n">
        <v>0</v>
      </c>
      <c r="H395" s="109" t="n">
        <v>0</v>
      </c>
      <c r="I395" s="109" t="n">
        <v>1</v>
      </c>
      <c r="J395" s="126"/>
      <c r="K395" s="109"/>
      <c r="L395" s="126"/>
      <c r="M395" s="109"/>
      <c r="N395" s="109"/>
      <c r="O395" s="109"/>
      <c r="P395" s="109"/>
      <c r="Q395" s="109"/>
      <c r="R395" s="126"/>
      <c r="S395" s="109" t="n">
        <f aca="false">C395+D395+E395+F395+G395+H395+I395</f>
        <v>4</v>
      </c>
    </row>
    <row r="396" customFormat="false" ht="12.75" hidden="false" customHeight="false" outlineLevel="0" collapsed="false">
      <c r="A396" s="175" t="s">
        <v>56</v>
      </c>
      <c r="B396" s="107" t="n">
        <v>2015</v>
      </c>
      <c r="C396" s="109" t="n">
        <v>0</v>
      </c>
      <c r="D396" s="126" t="n">
        <v>4</v>
      </c>
      <c r="E396" s="109" t="n">
        <v>0</v>
      </c>
      <c r="F396" s="126" t="n">
        <v>2</v>
      </c>
      <c r="G396" s="109" t="n">
        <v>0</v>
      </c>
      <c r="H396" s="109" t="n">
        <v>1</v>
      </c>
      <c r="I396" s="109" t="n">
        <v>0</v>
      </c>
      <c r="J396" s="126"/>
      <c r="K396" s="109"/>
      <c r="L396" s="126"/>
      <c r="M396" s="109"/>
      <c r="N396" s="109"/>
      <c r="O396" s="109"/>
      <c r="P396" s="109"/>
      <c r="Q396" s="109"/>
      <c r="R396" s="126"/>
      <c r="S396" s="109" t="n">
        <f aca="false">C396+D396+E396+F396+G396+H396+I396</f>
        <v>7</v>
      </c>
    </row>
    <row r="397" customFormat="false" ht="12.75" hidden="false" customHeight="false" outlineLevel="0" collapsed="false">
      <c r="A397" s="175" t="s">
        <v>57</v>
      </c>
      <c r="B397" s="112" t="s">
        <v>53</v>
      </c>
      <c r="C397" s="109" t="n">
        <f aca="false">C395-C396</f>
        <v>1</v>
      </c>
      <c r="D397" s="126" t="n">
        <f aca="false">D395-D396</f>
        <v>-4</v>
      </c>
      <c r="E397" s="109" t="n">
        <f aca="false">E395-E396</f>
        <v>1</v>
      </c>
      <c r="F397" s="126" t="n">
        <f aca="false">F395-F396</f>
        <v>-1</v>
      </c>
      <c r="G397" s="109" t="n">
        <f aca="false">G395-G396</f>
        <v>0</v>
      </c>
      <c r="H397" s="109" t="n">
        <f aca="false">H395-H396</f>
        <v>-1</v>
      </c>
      <c r="I397" s="109" t="n">
        <f aca="false">I395-I396</f>
        <v>1</v>
      </c>
      <c r="J397" s="126"/>
      <c r="K397" s="109"/>
      <c r="L397" s="163"/>
      <c r="M397" s="137"/>
      <c r="N397" s="109"/>
      <c r="O397" s="109"/>
      <c r="P397" s="109"/>
      <c r="Q397" s="109"/>
      <c r="R397" s="126"/>
      <c r="S397" s="109" t="n">
        <f aca="false">S395-S396</f>
        <v>-3</v>
      </c>
    </row>
    <row r="398" customFormat="false" ht="13.5" hidden="false" customHeight="false" outlineLevel="0" collapsed="false">
      <c r="A398" s="142"/>
      <c r="B398" s="114" t="s">
        <v>9</v>
      </c>
      <c r="C398" s="117" t="n">
        <v>0</v>
      </c>
      <c r="D398" s="117" t="n">
        <f aca="false">D397/D396</f>
        <v>-1</v>
      </c>
      <c r="E398" s="117" t="n">
        <v>0</v>
      </c>
      <c r="F398" s="117" t="n">
        <f aca="false">F397/F396</f>
        <v>-0.5</v>
      </c>
      <c r="G398" s="117" t="n">
        <v>0</v>
      </c>
      <c r="H398" s="117" t="n">
        <f aca="false">H397/H396</f>
        <v>-1</v>
      </c>
      <c r="I398" s="117" t="n">
        <v>0</v>
      </c>
      <c r="J398" s="140"/>
      <c r="K398" s="117"/>
      <c r="L398" s="140"/>
      <c r="M398" s="117"/>
      <c r="N398" s="117"/>
      <c r="O398" s="117"/>
      <c r="P398" s="117"/>
      <c r="Q398" s="117"/>
      <c r="R398" s="140"/>
      <c r="S398" s="117" t="n">
        <f aca="false">S397/S396</f>
        <v>-0.428571428571429</v>
      </c>
    </row>
    <row r="399" customFormat="false" ht="12.75" hidden="false" customHeight="false" outlineLevel="0" collapsed="false">
      <c r="A399" s="144"/>
      <c r="B399" s="107" t="n">
        <v>2016</v>
      </c>
      <c r="C399" s="109" t="n">
        <v>0</v>
      </c>
      <c r="D399" s="126" t="n">
        <v>0</v>
      </c>
      <c r="E399" s="109" t="n">
        <v>0</v>
      </c>
      <c r="F399" s="126" t="n">
        <v>0</v>
      </c>
      <c r="G399" s="109" t="n">
        <v>0</v>
      </c>
      <c r="H399" s="109" t="n">
        <v>0</v>
      </c>
      <c r="I399" s="109" t="n">
        <v>0</v>
      </c>
      <c r="J399" s="126"/>
      <c r="K399" s="109"/>
      <c r="L399" s="126"/>
      <c r="M399" s="109"/>
      <c r="N399" s="109"/>
      <c r="O399" s="109"/>
      <c r="P399" s="109"/>
      <c r="Q399" s="109"/>
      <c r="R399" s="126"/>
      <c r="S399" s="109" t="n">
        <f aca="false">C399+D399+E399+F399+G399+H399+I399</f>
        <v>0</v>
      </c>
    </row>
    <row r="400" customFormat="false" ht="12.75" hidden="false" customHeight="false" outlineLevel="0" collapsed="false">
      <c r="A400" s="138" t="s">
        <v>58</v>
      </c>
      <c r="B400" s="107" t="n">
        <v>2015</v>
      </c>
      <c r="C400" s="109" t="n">
        <v>0</v>
      </c>
      <c r="D400" s="126" t="n">
        <v>0</v>
      </c>
      <c r="E400" s="109" t="n">
        <v>0</v>
      </c>
      <c r="F400" s="109" t="n">
        <v>0</v>
      </c>
      <c r="G400" s="109" t="n">
        <v>0</v>
      </c>
      <c r="H400" s="109" t="n">
        <v>0</v>
      </c>
      <c r="I400" s="109" t="n">
        <v>0</v>
      </c>
      <c r="J400" s="137"/>
      <c r="K400" s="109"/>
      <c r="L400" s="126"/>
      <c r="M400" s="109"/>
      <c r="N400" s="109"/>
      <c r="O400" s="109"/>
      <c r="P400" s="109"/>
      <c r="Q400" s="109"/>
      <c r="R400" s="126"/>
      <c r="S400" s="109" t="n">
        <f aca="false">C400+D400+E400+F400+G400+H400+I400</f>
        <v>0</v>
      </c>
    </row>
    <row r="401" customFormat="false" ht="12.75" hidden="false" customHeight="false" outlineLevel="0" collapsed="false">
      <c r="A401" s="138" t="s">
        <v>59</v>
      </c>
      <c r="B401" s="112" t="s">
        <v>53</v>
      </c>
      <c r="C401" s="109" t="n">
        <f aca="false">C399-C400</f>
        <v>0</v>
      </c>
      <c r="D401" s="126" t="n">
        <f aca="false">D399-D400</f>
        <v>0</v>
      </c>
      <c r="E401" s="109" t="n">
        <f aca="false">E399-E400</f>
        <v>0</v>
      </c>
      <c r="F401" s="109" t="n">
        <f aca="false">F399-F400</f>
        <v>0</v>
      </c>
      <c r="G401" s="109" t="n">
        <f aca="false">G399-G400</f>
        <v>0</v>
      </c>
      <c r="H401" s="109" t="n">
        <f aca="false">H399-H400</f>
        <v>0</v>
      </c>
      <c r="I401" s="109" t="n">
        <f aca="false">I399-I400</f>
        <v>0</v>
      </c>
      <c r="J401" s="137"/>
      <c r="K401" s="109"/>
      <c r="L401" s="126"/>
      <c r="M401" s="109"/>
      <c r="N401" s="109"/>
      <c r="O401" s="109"/>
      <c r="P401" s="109"/>
      <c r="Q401" s="109"/>
      <c r="R401" s="126"/>
      <c r="S401" s="109" t="n">
        <f aca="false">S399-S400</f>
        <v>0</v>
      </c>
    </row>
    <row r="402" customFormat="false" ht="13.5" hidden="false" customHeight="false" outlineLevel="0" collapsed="false">
      <c r="A402" s="142"/>
      <c r="B402" s="114" t="s">
        <v>9</v>
      </c>
      <c r="C402" s="117" t="n">
        <v>0</v>
      </c>
      <c r="D402" s="143" t="n">
        <v>0</v>
      </c>
      <c r="E402" s="143" t="n">
        <v>0</v>
      </c>
      <c r="F402" s="143" t="n">
        <v>0</v>
      </c>
      <c r="G402" s="143" t="n">
        <v>0</v>
      </c>
      <c r="H402" s="140" t="n">
        <v>0</v>
      </c>
      <c r="I402" s="117" t="n">
        <v>0</v>
      </c>
      <c r="J402" s="140"/>
      <c r="K402" s="117"/>
      <c r="L402" s="140"/>
      <c r="M402" s="117"/>
      <c r="N402" s="117"/>
      <c r="O402" s="117"/>
      <c r="P402" s="117"/>
      <c r="Q402" s="117"/>
      <c r="R402" s="140"/>
      <c r="S402" s="117" t="n">
        <v>0</v>
      </c>
    </row>
    <row r="403" customFormat="false" ht="12.75" hidden="false" customHeight="false" outlineLevel="0" collapsed="false">
      <c r="A403" s="144"/>
      <c r="B403" s="107" t="n">
        <v>2016</v>
      </c>
      <c r="C403" s="109" t="n">
        <v>13</v>
      </c>
      <c r="D403" s="126" t="n">
        <v>15</v>
      </c>
      <c r="E403" s="109" t="n">
        <v>5</v>
      </c>
      <c r="F403" s="126" t="n">
        <v>9</v>
      </c>
      <c r="G403" s="109" t="n">
        <v>2</v>
      </c>
      <c r="H403" s="109" t="n">
        <v>0</v>
      </c>
      <c r="I403" s="109" t="n">
        <v>6</v>
      </c>
      <c r="J403" s="126"/>
      <c r="K403" s="109"/>
      <c r="L403" s="126"/>
      <c r="M403" s="109"/>
      <c r="N403" s="109"/>
      <c r="O403" s="109"/>
      <c r="P403" s="109"/>
      <c r="Q403" s="109"/>
      <c r="R403" s="126"/>
      <c r="S403" s="109" t="n">
        <f aca="false">C403+D403+E403+F403+G403+H403+I403</f>
        <v>50</v>
      </c>
    </row>
    <row r="404" customFormat="false" ht="12.75" hidden="false" customHeight="false" outlineLevel="0" collapsed="false">
      <c r="A404" s="175" t="s">
        <v>60</v>
      </c>
      <c r="B404" s="107" t="n">
        <v>2015</v>
      </c>
      <c r="C404" s="109" t="n">
        <v>9</v>
      </c>
      <c r="D404" s="126" t="n">
        <v>34</v>
      </c>
      <c r="E404" s="109" t="n">
        <v>11</v>
      </c>
      <c r="F404" s="109" t="n">
        <v>17</v>
      </c>
      <c r="G404" s="109" t="n">
        <v>6</v>
      </c>
      <c r="H404" s="109" t="n">
        <v>4</v>
      </c>
      <c r="I404" s="109" t="n">
        <v>11</v>
      </c>
      <c r="J404" s="137"/>
      <c r="K404" s="109"/>
      <c r="L404" s="126"/>
      <c r="M404" s="109"/>
      <c r="N404" s="109"/>
      <c r="O404" s="109"/>
      <c r="P404" s="109"/>
      <c r="Q404" s="109"/>
      <c r="R404" s="126"/>
      <c r="S404" s="109" t="n">
        <f aca="false">C404+D404+E404+F404+G404+H404+I404</f>
        <v>92</v>
      </c>
    </row>
    <row r="405" customFormat="false" ht="12.75" hidden="false" customHeight="false" outlineLevel="0" collapsed="false">
      <c r="A405" s="144"/>
      <c r="B405" s="112" t="s">
        <v>53</v>
      </c>
      <c r="C405" s="109" t="n">
        <f aca="false">C403-C404</f>
        <v>4</v>
      </c>
      <c r="D405" s="126" t="n">
        <f aca="false">D403-D404</f>
        <v>-19</v>
      </c>
      <c r="E405" s="109" t="n">
        <f aca="false">E403-E404</f>
        <v>-6</v>
      </c>
      <c r="F405" s="109" t="n">
        <f aca="false">F403-F404</f>
        <v>-8</v>
      </c>
      <c r="G405" s="109" t="n">
        <f aca="false">G403-G404</f>
        <v>-4</v>
      </c>
      <c r="H405" s="109" t="n">
        <f aca="false">H403-H404</f>
        <v>-4</v>
      </c>
      <c r="I405" s="109" t="n">
        <f aca="false">I403-I404</f>
        <v>-5</v>
      </c>
      <c r="J405" s="137"/>
      <c r="K405" s="109"/>
      <c r="L405" s="126"/>
      <c r="M405" s="109"/>
      <c r="N405" s="109"/>
      <c r="O405" s="109"/>
      <c r="P405" s="109"/>
      <c r="Q405" s="109"/>
      <c r="R405" s="126"/>
      <c r="S405" s="109" t="n">
        <f aca="false">S403-S404</f>
        <v>-42</v>
      </c>
    </row>
    <row r="406" customFormat="false" ht="13.5" hidden="false" customHeight="false" outlineLevel="0" collapsed="false">
      <c r="A406" s="142"/>
      <c r="B406" s="114" t="s">
        <v>9</v>
      </c>
      <c r="C406" s="117" t="n">
        <f aca="false">C405/C404</f>
        <v>0.444444444444444</v>
      </c>
      <c r="D406" s="143" t="n">
        <f aca="false">D405/D404</f>
        <v>-0.558823529411765</v>
      </c>
      <c r="E406" s="143" t="n">
        <f aca="false">E405/E404</f>
        <v>-0.545454545454545</v>
      </c>
      <c r="F406" s="140" t="n">
        <f aca="false">F405/F404</f>
        <v>-0.470588235294118</v>
      </c>
      <c r="G406" s="143" t="n">
        <f aca="false">G405/G404</f>
        <v>-0.666666666666667</v>
      </c>
      <c r="H406" s="140" t="n">
        <f aca="false">H405/H404</f>
        <v>-1</v>
      </c>
      <c r="I406" s="117" t="n">
        <f aca="false">I405/I404</f>
        <v>-0.454545454545455</v>
      </c>
      <c r="J406" s="140"/>
      <c r="K406" s="117"/>
      <c r="L406" s="140"/>
      <c r="M406" s="117"/>
      <c r="N406" s="117"/>
      <c r="O406" s="117"/>
      <c r="P406" s="117"/>
      <c r="Q406" s="117"/>
      <c r="R406" s="140"/>
      <c r="S406" s="117" t="n">
        <f aca="false">S405/S404</f>
        <v>-0.456521739130435</v>
      </c>
    </row>
    <row r="407" customFormat="false" ht="12.75" hidden="false" customHeight="false" outlineLevel="0" collapsed="false">
      <c r="A407" s="144"/>
      <c r="B407" s="107" t="n">
        <v>2016</v>
      </c>
      <c r="C407" s="109" t="n">
        <v>29</v>
      </c>
      <c r="D407" s="126" t="n">
        <v>63</v>
      </c>
      <c r="E407" s="109" t="n">
        <v>15</v>
      </c>
      <c r="F407" s="126" t="n">
        <v>25</v>
      </c>
      <c r="G407" s="109" t="n">
        <v>9</v>
      </c>
      <c r="H407" s="109" t="n">
        <v>8</v>
      </c>
      <c r="I407" s="109" t="n">
        <v>9</v>
      </c>
      <c r="J407" s="126"/>
      <c r="K407" s="109"/>
      <c r="L407" s="126"/>
      <c r="M407" s="109"/>
      <c r="N407" s="109"/>
      <c r="O407" s="109"/>
      <c r="P407" s="109"/>
      <c r="Q407" s="109"/>
      <c r="R407" s="126"/>
      <c r="S407" s="109" t="n">
        <f aca="false">C407+D407+E407+F407+G407+H407+I407</f>
        <v>158</v>
      </c>
    </row>
    <row r="408" customFormat="false" ht="12.75" hidden="false" customHeight="false" outlineLevel="0" collapsed="false">
      <c r="A408" s="175" t="s">
        <v>61</v>
      </c>
      <c r="B408" s="107" t="n">
        <v>2015</v>
      </c>
      <c r="C408" s="109" t="n">
        <v>18</v>
      </c>
      <c r="D408" s="126" t="n">
        <v>28</v>
      </c>
      <c r="E408" s="109" t="n">
        <v>19</v>
      </c>
      <c r="F408" s="126" t="n">
        <v>11</v>
      </c>
      <c r="G408" s="109" t="n">
        <v>10</v>
      </c>
      <c r="H408" s="109" t="n">
        <v>10</v>
      </c>
      <c r="I408" s="109" t="n">
        <v>9</v>
      </c>
      <c r="J408" s="126"/>
      <c r="K408" s="109"/>
      <c r="L408" s="126"/>
      <c r="M408" s="109"/>
      <c r="N408" s="109"/>
      <c r="O408" s="109"/>
      <c r="P408" s="109"/>
      <c r="Q408" s="109"/>
      <c r="R408" s="126"/>
      <c r="S408" s="109" t="n">
        <f aca="false">C408+D408+E408+F408+G408+H408+I408</f>
        <v>105</v>
      </c>
    </row>
    <row r="409" customFormat="false" ht="12.75" hidden="false" customHeight="false" outlineLevel="0" collapsed="false">
      <c r="A409" s="175" t="s">
        <v>62</v>
      </c>
      <c r="B409" s="112" t="s">
        <v>53</v>
      </c>
      <c r="C409" s="109" t="n">
        <f aca="false">C407-C408</f>
        <v>11</v>
      </c>
      <c r="D409" s="126" t="n">
        <f aca="false">D407-D408</f>
        <v>35</v>
      </c>
      <c r="E409" s="109" t="n">
        <f aca="false">E407-E408</f>
        <v>-4</v>
      </c>
      <c r="F409" s="126" t="n">
        <f aca="false">F407-F408</f>
        <v>14</v>
      </c>
      <c r="G409" s="109" t="n">
        <f aca="false">G407-G408</f>
        <v>-1</v>
      </c>
      <c r="H409" s="109" t="n">
        <f aca="false">H407-H408</f>
        <v>-2</v>
      </c>
      <c r="I409" s="109" t="n">
        <f aca="false">I407-I408</f>
        <v>0</v>
      </c>
      <c r="J409" s="126"/>
      <c r="K409" s="109"/>
      <c r="L409" s="126"/>
      <c r="M409" s="109"/>
      <c r="N409" s="109"/>
      <c r="O409" s="109"/>
      <c r="P409" s="109"/>
      <c r="Q409" s="109"/>
      <c r="R409" s="126"/>
      <c r="S409" s="109" t="n">
        <f aca="false">S407-S408</f>
        <v>53</v>
      </c>
    </row>
    <row r="410" customFormat="false" ht="13.5" hidden="false" customHeight="false" outlineLevel="0" collapsed="false">
      <c r="A410" s="142"/>
      <c r="B410" s="114" t="s">
        <v>9</v>
      </c>
      <c r="C410" s="117" t="n">
        <f aca="false">C409/C408</f>
        <v>0.611111111111111</v>
      </c>
      <c r="D410" s="117" t="n">
        <f aca="false">D409/D408</f>
        <v>1.25</v>
      </c>
      <c r="E410" s="117" t="n">
        <f aca="false">E409/E408</f>
        <v>-0.210526315789474</v>
      </c>
      <c r="F410" s="117" t="n">
        <f aca="false">F409/F408</f>
        <v>1.27272727272727</v>
      </c>
      <c r="G410" s="117" t="n">
        <f aca="false">G409/G408</f>
        <v>-0.1</v>
      </c>
      <c r="H410" s="117" t="n">
        <f aca="false">H409/H408</f>
        <v>-0.2</v>
      </c>
      <c r="I410" s="117" t="n">
        <f aca="false">I409/I408</f>
        <v>0</v>
      </c>
      <c r="J410" s="140"/>
      <c r="K410" s="117"/>
      <c r="L410" s="140"/>
      <c r="M410" s="117"/>
      <c r="N410" s="117"/>
      <c r="O410" s="117"/>
      <c r="P410" s="117"/>
      <c r="Q410" s="117"/>
      <c r="R410" s="140"/>
      <c r="S410" s="117" t="n">
        <f aca="false">S409/S408</f>
        <v>0.504761904761905</v>
      </c>
    </row>
    <row r="411" customFormat="false" ht="12.75" hidden="false" customHeight="false" outlineLevel="0" collapsed="false">
      <c r="A411" s="144"/>
      <c r="B411" s="107" t="n">
        <v>2016</v>
      </c>
      <c r="C411" s="109" t="n">
        <v>61</v>
      </c>
      <c r="D411" s="126" t="n">
        <v>106</v>
      </c>
      <c r="E411" s="109" t="n">
        <v>50</v>
      </c>
      <c r="F411" s="126" t="n">
        <v>67</v>
      </c>
      <c r="G411" s="109" t="n">
        <v>47</v>
      </c>
      <c r="H411" s="109" t="n">
        <v>38</v>
      </c>
      <c r="I411" s="109" t="n">
        <v>94</v>
      </c>
      <c r="J411" s="126"/>
      <c r="K411" s="109"/>
      <c r="L411" s="126"/>
      <c r="M411" s="109"/>
      <c r="N411" s="109"/>
      <c r="O411" s="109"/>
      <c r="P411" s="109"/>
      <c r="Q411" s="109"/>
      <c r="R411" s="126"/>
      <c r="S411" s="109" t="n">
        <f aca="false">C411+D411+E411+F411+G411+H411+I411</f>
        <v>463</v>
      </c>
    </row>
    <row r="412" customFormat="false" ht="12.75" hidden="false" customHeight="false" outlineLevel="0" collapsed="false">
      <c r="A412" s="175" t="s">
        <v>63</v>
      </c>
      <c r="B412" s="107" t="n">
        <v>2015</v>
      </c>
      <c r="C412" s="109" t="n">
        <v>55</v>
      </c>
      <c r="D412" s="126" t="n">
        <v>115</v>
      </c>
      <c r="E412" s="109" t="n">
        <v>57</v>
      </c>
      <c r="F412" s="126" t="n">
        <v>110</v>
      </c>
      <c r="G412" s="109" t="n">
        <v>91</v>
      </c>
      <c r="H412" s="109" t="n">
        <v>44</v>
      </c>
      <c r="I412" s="109" t="n">
        <v>98</v>
      </c>
      <c r="J412" s="126"/>
      <c r="K412" s="109"/>
      <c r="L412" s="126"/>
      <c r="M412" s="109"/>
      <c r="N412" s="109"/>
      <c r="O412" s="109"/>
      <c r="P412" s="109"/>
      <c r="Q412" s="109"/>
      <c r="R412" s="126"/>
      <c r="S412" s="109" t="n">
        <f aca="false">C412+D412+E412+F412+G412+H412+I412</f>
        <v>570</v>
      </c>
    </row>
    <row r="413" customFormat="false" ht="12.75" hidden="false" customHeight="false" outlineLevel="0" collapsed="false">
      <c r="A413" s="144"/>
      <c r="B413" s="112" t="s">
        <v>53</v>
      </c>
      <c r="C413" s="109" t="n">
        <f aca="false">C411-C412</f>
        <v>6</v>
      </c>
      <c r="D413" s="126" t="n">
        <f aca="false">D411-D412</f>
        <v>-9</v>
      </c>
      <c r="E413" s="109" t="n">
        <f aca="false">E411-E412</f>
        <v>-7</v>
      </c>
      <c r="F413" s="126" t="n">
        <f aca="false">F411-F412</f>
        <v>-43</v>
      </c>
      <c r="G413" s="109" t="n">
        <f aca="false">G411-G412</f>
        <v>-44</v>
      </c>
      <c r="H413" s="109" t="n">
        <f aca="false">H411-H412</f>
        <v>-6</v>
      </c>
      <c r="I413" s="109" t="n">
        <f aca="false">I411-I412</f>
        <v>-4</v>
      </c>
      <c r="J413" s="126"/>
      <c r="K413" s="109"/>
      <c r="L413" s="126"/>
      <c r="M413" s="109"/>
      <c r="N413" s="109"/>
      <c r="O413" s="109"/>
      <c r="P413" s="109"/>
      <c r="Q413" s="109"/>
      <c r="R413" s="126"/>
      <c r="S413" s="109" t="n">
        <f aca="false">S411-S412</f>
        <v>-107</v>
      </c>
    </row>
    <row r="414" customFormat="false" ht="13.5" hidden="false" customHeight="false" outlineLevel="0" collapsed="false">
      <c r="A414" s="142"/>
      <c r="B414" s="114" t="s">
        <v>9</v>
      </c>
      <c r="C414" s="117" t="n">
        <f aca="false">C413/C412</f>
        <v>0.109090909090909</v>
      </c>
      <c r="D414" s="140" t="n">
        <f aca="false">D413/D412</f>
        <v>-0.0782608695652174</v>
      </c>
      <c r="E414" s="117" t="n">
        <f aca="false">E413/E412</f>
        <v>-0.12280701754386</v>
      </c>
      <c r="F414" s="140" t="n">
        <f aca="false">F413/F412</f>
        <v>-0.390909090909091</v>
      </c>
      <c r="G414" s="117" t="n">
        <f aca="false">G413/G412</f>
        <v>-0.483516483516484</v>
      </c>
      <c r="H414" s="117" t="n">
        <f aca="false">H413/H412</f>
        <v>-0.136363636363636</v>
      </c>
      <c r="I414" s="117" t="n">
        <f aca="false">I413/I412</f>
        <v>-0.0408163265306122</v>
      </c>
      <c r="J414" s="140"/>
      <c r="K414" s="117"/>
      <c r="L414" s="140"/>
      <c r="M414" s="117"/>
      <c r="N414" s="117"/>
      <c r="O414" s="117"/>
      <c r="P414" s="117"/>
      <c r="Q414" s="117"/>
      <c r="R414" s="140"/>
      <c r="S414" s="117" t="n">
        <f aca="false">S413/S412</f>
        <v>-0.187719298245614</v>
      </c>
    </row>
    <row r="415" customFormat="false" ht="12.75" hidden="false" customHeight="false" outlineLevel="0" collapsed="false">
      <c r="A415" s="144"/>
      <c r="B415" s="107" t="n">
        <v>2016</v>
      </c>
      <c r="C415" s="109" t="n">
        <v>87</v>
      </c>
      <c r="D415" s="126" t="n">
        <v>186</v>
      </c>
      <c r="E415" s="109" t="n">
        <v>50</v>
      </c>
      <c r="F415" s="126" t="n">
        <v>191</v>
      </c>
      <c r="G415" s="109" t="n">
        <v>68</v>
      </c>
      <c r="H415" s="109" t="n">
        <v>73</v>
      </c>
      <c r="I415" s="109" t="n">
        <v>123</v>
      </c>
      <c r="J415" s="126"/>
      <c r="K415" s="109"/>
      <c r="L415" s="126"/>
      <c r="M415" s="109"/>
      <c r="N415" s="109"/>
      <c r="O415" s="109"/>
      <c r="P415" s="109"/>
      <c r="Q415" s="109"/>
      <c r="R415" s="126"/>
      <c r="S415" s="109" t="n">
        <f aca="false">C415+D415+E415+F415+G415+H415+I415</f>
        <v>778</v>
      </c>
    </row>
    <row r="416" customFormat="false" ht="12.75" hidden="false" customHeight="false" outlineLevel="0" collapsed="false">
      <c r="A416" s="175" t="s">
        <v>64</v>
      </c>
      <c r="B416" s="107" t="n">
        <v>2015</v>
      </c>
      <c r="C416" s="109" t="n">
        <v>76</v>
      </c>
      <c r="D416" s="126" t="n">
        <v>208</v>
      </c>
      <c r="E416" s="109" t="n">
        <v>67</v>
      </c>
      <c r="F416" s="126" t="n">
        <v>201</v>
      </c>
      <c r="G416" s="109" t="n">
        <v>96</v>
      </c>
      <c r="H416" s="109" t="n">
        <v>67</v>
      </c>
      <c r="I416" s="109" t="n">
        <v>136</v>
      </c>
      <c r="J416" s="126"/>
      <c r="K416" s="109"/>
      <c r="L416" s="126"/>
      <c r="M416" s="109"/>
      <c r="N416" s="109"/>
      <c r="O416" s="109"/>
      <c r="P416" s="109"/>
      <c r="Q416" s="109"/>
      <c r="R416" s="126"/>
      <c r="S416" s="109" t="n">
        <f aca="false">C416+D416+E416+F416+G416+H416+I416</f>
        <v>851</v>
      </c>
    </row>
    <row r="417" customFormat="false" ht="12.75" hidden="false" customHeight="false" outlineLevel="0" collapsed="false">
      <c r="A417" s="175" t="s">
        <v>65</v>
      </c>
      <c r="B417" s="112" t="s">
        <v>53</v>
      </c>
      <c r="C417" s="109" t="n">
        <f aca="false">C415-C416</f>
        <v>11</v>
      </c>
      <c r="D417" s="126" t="n">
        <f aca="false">D415-D416</f>
        <v>-22</v>
      </c>
      <c r="E417" s="109" t="n">
        <f aca="false">E415-E416</f>
        <v>-17</v>
      </c>
      <c r="F417" s="126" t="n">
        <f aca="false">F415-F416</f>
        <v>-10</v>
      </c>
      <c r="G417" s="109" t="n">
        <f aca="false">G415-G416</f>
        <v>-28</v>
      </c>
      <c r="H417" s="109" t="n">
        <f aca="false">H415-H416</f>
        <v>6</v>
      </c>
      <c r="I417" s="109" t="n">
        <f aca="false">I415-I416</f>
        <v>-13</v>
      </c>
      <c r="J417" s="126"/>
      <c r="K417" s="109"/>
      <c r="L417" s="126"/>
      <c r="M417" s="109"/>
      <c r="N417" s="109"/>
      <c r="O417" s="109"/>
      <c r="P417" s="109"/>
      <c r="Q417" s="109"/>
      <c r="R417" s="126"/>
      <c r="S417" s="109" t="n">
        <f aca="false">S415-S416</f>
        <v>-73</v>
      </c>
    </row>
    <row r="418" customFormat="false" ht="13.5" hidden="false" customHeight="false" outlineLevel="0" collapsed="false">
      <c r="A418" s="142"/>
      <c r="B418" s="114" t="s">
        <v>9</v>
      </c>
      <c r="C418" s="117" t="n">
        <f aca="false">C417/C416</f>
        <v>0.144736842105263</v>
      </c>
      <c r="D418" s="140" t="n">
        <f aca="false">D417/D416</f>
        <v>-0.105769230769231</v>
      </c>
      <c r="E418" s="117" t="n">
        <f aca="false">E417/E416</f>
        <v>-0.253731343283582</v>
      </c>
      <c r="F418" s="140" t="n">
        <f aca="false">F417/F416</f>
        <v>-0.0497512437810945</v>
      </c>
      <c r="G418" s="117" t="n">
        <f aca="false">G417/G416</f>
        <v>-0.291666666666667</v>
      </c>
      <c r="H418" s="117" t="n">
        <f aca="false">H417/H416</f>
        <v>0.0895522388059701</v>
      </c>
      <c r="I418" s="117" t="n">
        <f aca="false">I417/I416</f>
        <v>-0.0955882352941176</v>
      </c>
      <c r="J418" s="140"/>
      <c r="K418" s="117"/>
      <c r="L418" s="140"/>
      <c r="M418" s="117"/>
      <c r="N418" s="117"/>
      <c r="O418" s="117"/>
      <c r="P418" s="117"/>
      <c r="Q418" s="117"/>
      <c r="R418" s="140"/>
      <c r="S418" s="117" t="n">
        <f aca="false">S417/S416</f>
        <v>-0.0857814336075206</v>
      </c>
    </row>
    <row r="419" customFormat="false" ht="12.75" hidden="false" customHeight="false" outlineLevel="0" collapsed="false">
      <c r="A419" s="144"/>
      <c r="B419" s="107" t="n">
        <v>2016</v>
      </c>
      <c r="C419" s="109" t="n">
        <v>5</v>
      </c>
      <c r="D419" s="126" t="n">
        <v>16</v>
      </c>
      <c r="E419" s="109" t="n">
        <v>1</v>
      </c>
      <c r="F419" s="126" t="n">
        <v>14</v>
      </c>
      <c r="G419" s="109" t="n">
        <v>3</v>
      </c>
      <c r="H419" s="109" t="n">
        <v>2</v>
      </c>
      <c r="I419" s="109" t="n">
        <v>9</v>
      </c>
      <c r="J419" s="126"/>
      <c r="K419" s="109"/>
      <c r="L419" s="126"/>
      <c r="M419" s="109"/>
      <c r="N419" s="109"/>
      <c r="O419" s="109"/>
      <c r="P419" s="109"/>
      <c r="Q419" s="109"/>
      <c r="R419" s="126"/>
      <c r="S419" s="109" t="n">
        <f aca="false">C419+D419+E419+F419+G419+H419+I419</f>
        <v>50</v>
      </c>
    </row>
    <row r="420" customFormat="false" ht="12.75" hidden="false" customHeight="false" outlineLevel="0" collapsed="false">
      <c r="A420" s="175" t="s">
        <v>66</v>
      </c>
      <c r="B420" s="107" t="n">
        <v>2015</v>
      </c>
      <c r="C420" s="109" t="n">
        <v>3</v>
      </c>
      <c r="D420" s="126" t="n">
        <v>9</v>
      </c>
      <c r="E420" s="109" t="n">
        <v>1</v>
      </c>
      <c r="F420" s="126" t="n">
        <v>9</v>
      </c>
      <c r="G420" s="109" t="n">
        <v>5</v>
      </c>
      <c r="H420" s="109" t="n">
        <v>3</v>
      </c>
      <c r="I420" s="109" t="n">
        <v>8</v>
      </c>
      <c r="J420" s="126"/>
      <c r="K420" s="109"/>
      <c r="L420" s="126"/>
      <c r="M420" s="109"/>
      <c r="N420" s="109"/>
      <c r="O420" s="109"/>
      <c r="P420" s="109"/>
      <c r="Q420" s="109"/>
      <c r="R420" s="126"/>
      <c r="S420" s="109" t="n">
        <f aca="false">C420+D420+E420+F420+G420+H420+I420</f>
        <v>38</v>
      </c>
    </row>
    <row r="421" customFormat="false" ht="12.75" hidden="false" customHeight="false" outlineLevel="0" collapsed="false">
      <c r="A421" s="175" t="s">
        <v>67</v>
      </c>
      <c r="B421" s="112" t="s">
        <v>53</v>
      </c>
      <c r="C421" s="109" t="n">
        <f aca="false">C419-C420</f>
        <v>2</v>
      </c>
      <c r="D421" s="126" t="n">
        <f aca="false">D419-D420</f>
        <v>7</v>
      </c>
      <c r="E421" s="109" t="n">
        <f aca="false">E419-E420</f>
        <v>0</v>
      </c>
      <c r="F421" s="126" t="n">
        <f aca="false">F419-F420</f>
        <v>5</v>
      </c>
      <c r="G421" s="109" t="n">
        <f aca="false">G419-G420</f>
        <v>-2</v>
      </c>
      <c r="H421" s="109" t="n">
        <f aca="false">H419-H420</f>
        <v>-1</v>
      </c>
      <c r="I421" s="109" t="n">
        <f aca="false">I419-I420</f>
        <v>1</v>
      </c>
      <c r="J421" s="126"/>
      <c r="K421" s="109"/>
      <c r="L421" s="126"/>
      <c r="M421" s="109"/>
      <c r="N421" s="109"/>
      <c r="O421" s="109"/>
      <c r="P421" s="109"/>
      <c r="Q421" s="109"/>
      <c r="R421" s="126"/>
      <c r="S421" s="109" t="n">
        <f aca="false">S419-S420</f>
        <v>12</v>
      </c>
    </row>
    <row r="422" customFormat="false" ht="13.5" hidden="false" customHeight="false" outlineLevel="0" collapsed="false">
      <c r="A422" s="142"/>
      <c r="B422" s="114" t="s">
        <v>9</v>
      </c>
      <c r="C422" s="143" t="n">
        <f aca="false">C421/C420</f>
        <v>0.666666666666667</v>
      </c>
      <c r="D422" s="117" t="n">
        <f aca="false">D421/D420</f>
        <v>0.777777777777778</v>
      </c>
      <c r="E422" s="117" t="n">
        <f aca="false">E421/E420</f>
        <v>0</v>
      </c>
      <c r="F422" s="143" t="n">
        <f aca="false">F421/F420</f>
        <v>0.555555555555556</v>
      </c>
      <c r="G422" s="117" t="n">
        <f aca="false">G421/G420</f>
        <v>-0.4</v>
      </c>
      <c r="H422" s="117" t="n">
        <f aca="false">H421/H420</f>
        <v>-0.333333333333333</v>
      </c>
      <c r="I422" s="117" t="n">
        <f aca="false">I421/I420</f>
        <v>0.125</v>
      </c>
      <c r="J422" s="140"/>
      <c r="K422" s="117"/>
      <c r="L422" s="140"/>
      <c r="M422" s="117"/>
      <c r="N422" s="117"/>
      <c r="O422" s="117"/>
      <c r="P422" s="117"/>
      <c r="Q422" s="117"/>
      <c r="R422" s="140"/>
      <c r="S422" s="117" t="n">
        <f aca="false">S421/S420</f>
        <v>0.315789473684211</v>
      </c>
    </row>
    <row r="423" customFormat="false" ht="13.5" hidden="false" customHeight="false" outlineLevel="0" collapsed="false">
      <c r="A423" s="154" t="s">
        <v>171</v>
      </c>
      <c r="B423" s="124"/>
      <c r="C423" s="125"/>
      <c r="D423" s="125"/>
      <c r="E423" s="125"/>
      <c r="F423" s="125"/>
      <c r="G423" s="125"/>
      <c r="H423" s="125"/>
      <c r="I423" s="125"/>
      <c r="J423" s="125"/>
      <c r="K423" s="125"/>
      <c r="L423" s="125"/>
      <c r="M423" s="125"/>
      <c r="N423" s="125"/>
      <c r="O423" s="125"/>
      <c r="P423" s="125"/>
      <c r="Q423" s="125"/>
      <c r="R423" s="125"/>
      <c r="S423" s="125"/>
    </row>
    <row r="424" customFormat="false" ht="13.5" hidden="false" customHeight="false" outlineLevel="0" collapsed="false">
      <c r="A424" s="127"/>
      <c r="B424" s="128"/>
      <c r="C424" s="129" t="s">
        <v>172</v>
      </c>
      <c r="D424" s="129" t="s">
        <v>173</v>
      </c>
      <c r="E424" s="129" t="s">
        <v>174</v>
      </c>
      <c r="F424" s="130" t="s">
        <v>175</v>
      </c>
      <c r="G424" s="129" t="s">
        <v>176</v>
      </c>
      <c r="H424" s="129" t="s">
        <v>177</v>
      </c>
      <c r="I424" s="129" t="s">
        <v>178</v>
      </c>
      <c r="J424" s="135"/>
      <c r="K424" s="134"/>
      <c r="L424" s="135"/>
      <c r="M424" s="134"/>
      <c r="N424" s="134"/>
      <c r="O424" s="134"/>
      <c r="P424" s="134"/>
      <c r="Q424" s="134"/>
      <c r="R424" s="135"/>
      <c r="S424" s="134" t="s">
        <v>51</v>
      </c>
    </row>
    <row r="425" customFormat="false" ht="12.75" hidden="false" customHeight="false" outlineLevel="0" collapsed="false">
      <c r="A425" s="136"/>
      <c r="B425" s="107" t="n">
        <v>2016</v>
      </c>
      <c r="C425" s="109" t="n">
        <f aca="false">C429+C433+C441+C445+C449+C453+C457</f>
        <v>66</v>
      </c>
      <c r="D425" s="109" t="n">
        <f aca="false">D429+D433+D441+D445+D449+D453+D457</f>
        <v>76</v>
      </c>
      <c r="E425" s="109" t="n">
        <f aca="false">E429+E433+E441+E445+E449+E453+E457</f>
        <v>160</v>
      </c>
      <c r="F425" s="137" t="n">
        <f aca="false">F429+F433+F441+F445+F449+F453+F457</f>
        <v>32</v>
      </c>
      <c r="G425" s="109" t="n">
        <f aca="false">G429+G433+G441+G445+G449+G453+G457</f>
        <v>138</v>
      </c>
      <c r="H425" s="109" t="n">
        <f aca="false">H429+H433+H441+H445+H449+H453+H457</f>
        <v>31</v>
      </c>
      <c r="I425" s="109" t="n">
        <f aca="false">I429+I433+I441+I445+I449+I453+I457</f>
        <v>38</v>
      </c>
      <c r="J425" s="137"/>
      <c r="K425" s="109"/>
      <c r="L425" s="109"/>
      <c r="M425" s="109"/>
      <c r="N425" s="109"/>
      <c r="O425" s="109"/>
      <c r="P425" s="109"/>
      <c r="Q425" s="109"/>
      <c r="R425" s="137"/>
      <c r="S425" s="109" t="n">
        <f aca="false">S429+S433+S441+S445+S449+S453+S457</f>
        <v>541</v>
      </c>
    </row>
    <row r="426" customFormat="false" ht="12.75" hidden="false" customHeight="false" outlineLevel="0" collapsed="false">
      <c r="A426" s="138" t="s">
        <v>52</v>
      </c>
      <c r="B426" s="107" t="n">
        <v>2015</v>
      </c>
      <c r="C426" s="109" t="n">
        <f aca="false">C430+C434+C442+C446+C450+C454+C458</f>
        <v>85</v>
      </c>
      <c r="D426" s="109" t="n">
        <f aca="false">D430+D434+D442+D446+D450+D454+D458</f>
        <v>77</v>
      </c>
      <c r="E426" s="109" t="n">
        <f aca="false">E430+E434+E442+E446+E450+E454+E458</f>
        <v>139</v>
      </c>
      <c r="F426" s="137" t="n">
        <f aca="false">F430+F434+F442+F446+F450+F454+F458</f>
        <v>30</v>
      </c>
      <c r="G426" s="109" t="n">
        <f aca="false">G430+G434+G442+G446+G450+G454+G458</f>
        <v>164</v>
      </c>
      <c r="H426" s="109" t="n">
        <f aca="false">H430+H434+H442+H446+H450+H454+H458</f>
        <v>38</v>
      </c>
      <c r="I426" s="109" t="n">
        <f aca="false">I430+I434+I442+I446+I450+I454+I458</f>
        <v>30</v>
      </c>
      <c r="J426" s="137"/>
      <c r="K426" s="109"/>
      <c r="L426" s="109"/>
      <c r="M426" s="109"/>
      <c r="N426" s="109"/>
      <c r="O426" s="109"/>
      <c r="P426" s="109"/>
      <c r="Q426" s="109"/>
      <c r="R426" s="137"/>
      <c r="S426" s="109" t="n">
        <f aca="false">S430+S434+S442+S446+S450+S454+S458</f>
        <v>563</v>
      </c>
    </row>
    <row r="427" customFormat="false" ht="12.75" hidden="false" customHeight="false" outlineLevel="0" collapsed="false">
      <c r="A427" s="136"/>
      <c r="B427" s="112" t="s">
        <v>53</v>
      </c>
      <c r="C427" s="109" t="n">
        <f aca="false">C425-C426</f>
        <v>-19</v>
      </c>
      <c r="D427" s="109" t="n">
        <f aca="false">D425-D426</f>
        <v>-1</v>
      </c>
      <c r="E427" s="109" t="n">
        <f aca="false">E425-E426</f>
        <v>21</v>
      </c>
      <c r="F427" s="126" t="n">
        <f aca="false">F425-F426</f>
        <v>2</v>
      </c>
      <c r="G427" s="109" t="n">
        <f aca="false">G425-G426</f>
        <v>-26</v>
      </c>
      <c r="H427" s="109" t="n">
        <f aca="false">H425-H426</f>
        <v>-7</v>
      </c>
      <c r="I427" s="109" t="n">
        <f aca="false">I425-I426</f>
        <v>8</v>
      </c>
      <c r="J427" s="126"/>
      <c r="K427" s="109"/>
      <c r="L427" s="126"/>
      <c r="M427" s="109"/>
      <c r="N427" s="109"/>
      <c r="O427" s="109"/>
      <c r="P427" s="109"/>
      <c r="Q427" s="109"/>
      <c r="R427" s="126"/>
      <c r="S427" s="109" t="n">
        <f aca="false">S425-S426</f>
        <v>-22</v>
      </c>
    </row>
    <row r="428" customFormat="false" ht="13.5" hidden="false" customHeight="false" outlineLevel="0" collapsed="false">
      <c r="A428" s="139"/>
      <c r="B428" s="114" t="s">
        <v>9</v>
      </c>
      <c r="C428" s="117" t="n">
        <f aca="false">C427/C426</f>
        <v>-0.223529411764706</v>
      </c>
      <c r="D428" s="117" t="n">
        <f aca="false">D427/D426</f>
        <v>-0.012987012987013</v>
      </c>
      <c r="E428" s="117" t="n">
        <f aca="false">E427/E426</f>
        <v>0.151079136690648</v>
      </c>
      <c r="F428" s="140" t="n">
        <f aca="false">F427/F426</f>
        <v>0.0666666666666667</v>
      </c>
      <c r="G428" s="117" t="n">
        <f aca="false">G427/G426</f>
        <v>-0.158536585365854</v>
      </c>
      <c r="H428" s="117" t="n">
        <f aca="false">H427/H426</f>
        <v>-0.184210526315789</v>
      </c>
      <c r="I428" s="117" t="n">
        <f aca="false">I427/I426</f>
        <v>0.266666666666667</v>
      </c>
      <c r="J428" s="140"/>
      <c r="K428" s="117"/>
      <c r="L428" s="140"/>
      <c r="M428" s="117"/>
      <c r="N428" s="117"/>
      <c r="O428" s="117"/>
      <c r="P428" s="117"/>
      <c r="Q428" s="117"/>
      <c r="R428" s="140"/>
      <c r="S428" s="117" t="n">
        <f aca="false">S427/S426</f>
        <v>-0.0390763765541741</v>
      </c>
    </row>
    <row r="429" customFormat="false" ht="12.75" hidden="false" customHeight="false" outlineLevel="0" collapsed="false">
      <c r="A429" s="136"/>
      <c r="B429" s="107" t="n">
        <v>2016</v>
      </c>
      <c r="C429" s="109" t="n">
        <v>0</v>
      </c>
      <c r="D429" s="109" t="n">
        <v>0</v>
      </c>
      <c r="E429" s="109" t="n">
        <v>0</v>
      </c>
      <c r="F429" s="126" t="n">
        <v>1</v>
      </c>
      <c r="G429" s="109" t="n">
        <v>1</v>
      </c>
      <c r="H429" s="109" t="n">
        <v>0</v>
      </c>
      <c r="I429" s="109" t="n">
        <v>1</v>
      </c>
      <c r="J429" s="126"/>
      <c r="K429" s="109"/>
      <c r="L429" s="126"/>
      <c r="M429" s="109"/>
      <c r="N429" s="109"/>
      <c r="O429" s="109"/>
      <c r="P429" s="109"/>
      <c r="Q429" s="109"/>
      <c r="R429" s="126"/>
      <c r="S429" s="109" t="n">
        <f aca="false">C429+D429+E429+F429+G429+H429+I429</f>
        <v>3</v>
      </c>
    </row>
    <row r="430" customFormat="false" ht="12.75" hidden="false" customHeight="false" outlineLevel="0" collapsed="false">
      <c r="A430" s="175" t="s">
        <v>54</v>
      </c>
      <c r="B430" s="107" t="n">
        <v>2015</v>
      </c>
      <c r="C430" s="109" t="n">
        <v>1</v>
      </c>
      <c r="D430" s="109" t="n">
        <v>0</v>
      </c>
      <c r="E430" s="109" t="n">
        <v>0</v>
      </c>
      <c r="F430" s="126" t="n">
        <v>0</v>
      </c>
      <c r="G430" s="109" t="n">
        <v>0</v>
      </c>
      <c r="H430" s="109" t="n">
        <v>0</v>
      </c>
      <c r="I430" s="109" t="n">
        <v>0</v>
      </c>
      <c r="J430" s="126"/>
      <c r="K430" s="109"/>
      <c r="L430" s="126"/>
      <c r="M430" s="109"/>
      <c r="N430" s="109"/>
      <c r="O430" s="109"/>
      <c r="P430" s="109"/>
      <c r="Q430" s="109"/>
      <c r="R430" s="126"/>
      <c r="S430" s="109" t="n">
        <f aca="false">C430+D430+E430+F430+G430+H430+I430</f>
        <v>1</v>
      </c>
    </row>
    <row r="431" customFormat="false" ht="12.75" hidden="false" customHeight="false" outlineLevel="0" collapsed="false">
      <c r="A431" s="175" t="s">
        <v>55</v>
      </c>
      <c r="B431" s="112" t="s">
        <v>53</v>
      </c>
      <c r="C431" s="109" t="n">
        <f aca="false">C429-C430</f>
        <v>-1</v>
      </c>
      <c r="D431" s="109" t="n">
        <f aca="false">D429-D430</f>
        <v>0</v>
      </c>
      <c r="E431" s="109" t="n">
        <f aca="false">E429-E430</f>
        <v>0</v>
      </c>
      <c r="F431" s="126" t="n">
        <f aca="false">F429-F430</f>
        <v>1</v>
      </c>
      <c r="G431" s="109" t="n">
        <f aca="false">G429-G430</f>
        <v>1</v>
      </c>
      <c r="H431" s="109" t="n">
        <f aca="false">H429-H430</f>
        <v>0</v>
      </c>
      <c r="I431" s="109" t="n">
        <f aca="false">I429-I430</f>
        <v>1</v>
      </c>
      <c r="J431" s="126"/>
      <c r="K431" s="109"/>
      <c r="L431" s="126"/>
      <c r="M431" s="109"/>
      <c r="N431" s="109"/>
      <c r="O431" s="109"/>
      <c r="P431" s="109"/>
      <c r="Q431" s="109"/>
      <c r="R431" s="126"/>
      <c r="S431" s="109" t="n">
        <f aca="false">S429-S430</f>
        <v>2</v>
      </c>
    </row>
    <row r="432" customFormat="false" ht="13.5" hidden="false" customHeight="false" outlineLevel="0" collapsed="false">
      <c r="A432" s="142"/>
      <c r="B432" s="114" t="s">
        <v>9</v>
      </c>
      <c r="C432" s="117" t="n">
        <f aca="false">C431/C430</f>
        <v>-1</v>
      </c>
      <c r="D432" s="117" t="n">
        <v>0</v>
      </c>
      <c r="E432" s="117" t="n">
        <v>0</v>
      </c>
      <c r="F432" s="117" t="n">
        <v>0</v>
      </c>
      <c r="G432" s="117" t="n">
        <v>0</v>
      </c>
      <c r="H432" s="117" t="n">
        <v>0</v>
      </c>
      <c r="I432" s="117" t="n">
        <v>0</v>
      </c>
      <c r="J432" s="140"/>
      <c r="K432" s="117"/>
      <c r="L432" s="140"/>
      <c r="M432" s="117"/>
      <c r="N432" s="117"/>
      <c r="O432" s="117"/>
      <c r="P432" s="117"/>
      <c r="Q432" s="117"/>
      <c r="R432" s="140"/>
      <c r="S432" s="117" t="n">
        <f aca="false">S431/S430</f>
        <v>2</v>
      </c>
    </row>
    <row r="433" customFormat="false" ht="12.75" hidden="false" customHeight="false" outlineLevel="0" collapsed="false">
      <c r="A433" s="144"/>
      <c r="B433" s="107" t="n">
        <v>2016</v>
      </c>
      <c r="C433" s="109" t="n">
        <v>0</v>
      </c>
      <c r="D433" s="109" t="n">
        <v>1</v>
      </c>
      <c r="E433" s="109" t="n">
        <v>0</v>
      </c>
      <c r="F433" s="126" t="n">
        <v>0</v>
      </c>
      <c r="G433" s="109" t="n">
        <v>2</v>
      </c>
      <c r="H433" s="109" t="n">
        <v>0</v>
      </c>
      <c r="I433" s="109" t="n">
        <v>0</v>
      </c>
      <c r="J433" s="126"/>
      <c r="K433" s="109"/>
      <c r="L433" s="126"/>
      <c r="M433" s="109"/>
      <c r="N433" s="109"/>
      <c r="O433" s="109"/>
      <c r="P433" s="109"/>
      <c r="Q433" s="109"/>
      <c r="R433" s="126"/>
      <c r="S433" s="109" t="n">
        <f aca="false">C433+D433+E433+F433+G433+H433+I433</f>
        <v>3</v>
      </c>
    </row>
    <row r="434" customFormat="false" ht="12.75" hidden="false" customHeight="false" outlineLevel="0" collapsed="false">
      <c r="A434" s="175" t="s">
        <v>56</v>
      </c>
      <c r="B434" s="107" t="n">
        <v>2015</v>
      </c>
      <c r="C434" s="109" t="n">
        <v>2</v>
      </c>
      <c r="D434" s="109" t="n">
        <v>2</v>
      </c>
      <c r="E434" s="109" t="n">
        <v>0</v>
      </c>
      <c r="F434" s="126" t="n">
        <v>0</v>
      </c>
      <c r="G434" s="109" t="n">
        <v>3</v>
      </c>
      <c r="H434" s="109" t="n">
        <v>0</v>
      </c>
      <c r="I434" s="109" t="n">
        <v>0</v>
      </c>
      <c r="J434" s="126"/>
      <c r="K434" s="109"/>
      <c r="L434" s="126"/>
      <c r="M434" s="109"/>
      <c r="N434" s="109"/>
      <c r="O434" s="109"/>
      <c r="P434" s="109"/>
      <c r="Q434" s="109"/>
      <c r="R434" s="126"/>
      <c r="S434" s="109" t="n">
        <f aca="false">C434+D434+E434+F434+G434+H434+I434</f>
        <v>7</v>
      </c>
    </row>
    <row r="435" customFormat="false" ht="12.75" hidden="false" customHeight="false" outlineLevel="0" collapsed="false">
      <c r="A435" s="175" t="s">
        <v>57</v>
      </c>
      <c r="B435" s="112" t="s">
        <v>53</v>
      </c>
      <c r="C435" s="109" t="n">
        <f aca="false">O429</f>
        <v>0</v>
      </c>
      <c r="D435" s="109" t="n">
        <f aca="false">D433-D434</f>
        <v>-1</v>
      </c>
      <c r="E435" s="109" t="n">
        <f aca="false">E433-E434</f>
        <v>0</v>
      </c>
      <c r="F435" s="126" t="n">
        <f aca="false">F433-F434</f>
        <v>0</v>
      </c>
      <c r="G435" s="109" t="n">
        <f aca="false">G433-G434</f>
        <v>-1</v>
      </c>
      <c r="H435" s="109" t="n">
        <f aca="false">H433-H434</f>
        <v>0</v>
      </c>
      <c r="I435" s="109" t="n">
        <f aca="false">I433-I434</f>
        <v>0</v>
      </c>
      <c r="J435" s="126"/>
      <c r="K435" s="109"/>
      <c r="L435" s="126"/>
      <c r="M435" s="109"/>
      <c r="N435" s="109"/>
      <c r="O435" s="109"/>
      <c r="P435" s="109"/>
      <c r="Q435" s="109"/>
      <c r="R435" s="126"/>
      <c r="S435" s="109" t="n">
        <f aca="false">S433-S434</f>
        <v>-4</v>
      </c>
    </row>
    <row r="436" customFormat="false" ht="13.5" hidden="false" customHeight="false" outlineLevel="0" collapsed="false">
      <c r="A436" s="142"/>
      <c r="B436" s="114" t="s">
        <v>9</v>
      </c>
      <c r="C436" s="117" t="n">
        <f aca="false">C435/C434</f>
        <v>0</v>
      </c>
      <c r="D436" s="117" t="n">
        <f aca="false">D435/D434</f>
        <v>-0.5</v>
      </c>
      <c r="E436" s="117" t="n">
        <v>0</v>
      </c>
      <c r="F436" s="117" t="n">
        <v>0</v>
      </c>
      <c r="G436" s="117" t="n">
        <f aca="false">G435/G434</f>
        <v>-0.333333333333333</v>
      </c>
      <c r="H436" s="117" t="n">
        <v>0</v>
      </c>
      <c r="I436" s="117" t="n">
        <v>0</v>
      </c>
      <c r="J436" s="140"/>
      <c r="K436" s="117"/>
      <c r="L436" s="140"/>
      <c r="M436" s="117"/>
      <c r="N436" s="117"/>
      <c r="O436" s="117"/>
      <c r="P436" s="117"/>
      <c r="Q436" s="117"/>
      <c r="R436" s="140"/>
      <c r="S436" s="117" t="n">
        <f aca="false">S435/S434</f>
        <v>-0.571428571428571</v>
      </c>
    </row>
    <row r="437" customFormat="false" ht="12.75" hidden="false" customHeight="false" outlineLevel="0" collapsed="false">
      <c r="A437" s="144"/>
      <c r="B437" s="107" t="n">
        <v>2016</v>
      </c>
      <c r="C437" s="109" t="n">
        <v>0</v>
      </c>
      <c r="D437" s="109" t="n">
        <v>0</v>
      </c>
      <c r="E437" s="109" t="n">
        <v>0</v>
      </c>
      <c r="F437" s="126" t="n">
        <v>0</v>
      </c>
      <c r="G437" s="109" t="n">
        <v>0</v>
      </c>
      <c r="H437" s="109" t="n">
        <v>0</v>
      </c>
      <c r="I437" s="109" t="n">
        <v>0</v>
      </c>
      <c r="J437" s="126"/>
      <c r="K437" s="109"/>
      <c r="L437" s="126"/>
      <c r="M437" s="109"/>
      <c r="N437" s="109"/>
      <c r="O437" s="109"/>
      <c r="P437" s="109"/>
      <c r="Q437" s="109"/>
      <c r="R437" s="126"/>
      <c r="S437" s="109" t="n">
        <f aca="false">C437+D437+E437+F437+G437+H437+I437</f>
        <v>0</v>
      </c>
    </row>
    <row r="438" customFormat="false" ht="12.75" hidden="false" customHeight="false" outlineLevel="0" collapsed="false">
      <c r="A438" s="138" t="s">
        <v>58</v>
      </c>
      <c r="B438" s="107" t="n">
        <v>2015</v>
      </c>
      <c r="C438" s="109" t="n">
        <v>0</v>
      </c>
      <c r="D438" s="109" t="n">
        <v>0</v>
      </c>
      <c r="E438" s="109" t="n">
        <v>0</v>
      </c>
      <c r="F438" s="126" t="n">
        <v>0</v>
      </c>
      <c r="G438" s="109" t="n">
        <v>0</v>
      </c>
      <c r="H438" s="109" t="n">
        <v>0</v>
      </c>
      <c r="I438" s="109" t="n">
        <v>0</v>
      </c>
      <c r="J438" s="126"/>
      <c r="K438" s="109"/>
      <c r="L438" s="126"/>
      <c r="M438" s="109"/>
      <c r="N438" s="109"/>
      <c r="O438" s="109"/>
      <c r="P438" s="109"/>
      <c r="Q438" s="109"/>
      <c r="R438" s="126"/>
      <c r="S438" s="109" t="n">
        <f aca="false">C438+D438+E438+F438+G438+H438+I438</f>
        <v>0</v>
      </c>
    </row>
    <row r="439" customFormat="false" ht="12.75" hidden="false" customHeight="false" outlineLevel="0" collapsed="false">
      <c r="A439" s="138" t="s">
        <v>59</v>
      </c>
      <c r="B439" s="112" t="s">
        <v>53</v>
      </c>
      <c r="C439" s="109" t="n">
        <f aca="false">C437-C438</f>
        <v>0</v>
      </c>
      <c r="D439" s="109" t="n">
        <f aca="false">D437-D438</f>
        <v>0</v>
      </c>
      <c r="E439" s="109" t="n">
        <f aca="false">E437-E438</f>
        <v>0</v>
      </c>
      <c r="F439" s="126" t="n">
        <f aca="false">F437-F438</f>
        <v>0</v>
      </c>
      <c r="G439" s="109" t="n">
        <f aca="false">G437-G438</f>
        <v>0</v>
      </c>
      <c r="H439" s="109" t="n">
        <f aca="false">H437-H438</f>
        <v>0</v>
      </c>
      <c r="I439" s="109" t="n">
        <f aca="false">I437-I438</f>
        <v>0</v>
      </c>
      <c r="J439" s="126"/>
      <c r="K439" s="109"/>
      <c r="L439" s="126"/>
      <c r="M439" s="109"/>
      <c r="N439" s="109"/>
      <c r="O439" s="109"/>
      <c r="P439" s="109"/>
      <c r="Q439" s="109"/>
      <c r="R439" s="126"/>
      <c r="S439" s="109" t="n">
        <f aca="false">S437-S438</f>
        <v>0</v>
      </c>
    </row>
    <row r="440" customFormat="false" ht="13.5" hidden="false" customHeight="false" outlineLevel="0" collapsed="false">
      <c r="A440" s="142"/>
      <c r="B440" s="114" t="s">
        <v>9</v>
      </c>
      <c r="C440" s="117" t="n">
        <v>0</v>
      </c>
      <c r="D440" s="117" t="n">
        <v>0</v>
      </c>
      <c r="E440" s="117" t="n">
        <v>0</v>
      </c>
      <c r="F440" s="117" t="n">
        <v>0</v>
      </c>
      <c r="G440" s="117" t="n">
        <v>0</v>
      </c>
      <c r="H440" s="117" t="n">
        <v>0</v>
      </c>
      <c r="I440" s="117" t="n">
        <v>0</v>
      </c>
      <c r="J440" s="140"/>
      <c r="K440" s="117"/>
      <c r="L440" s="140"/>
      <c r="M440" s="117"/>
      <c r="N440" s="117"/>
      <c r="O440" s="117"/>
      <c r="P440" s="117"/>
      <c r="Q440" s="117"/>
      <c r="R440" s="140"/>
      <c r="S440" s="117" t="n">
        <v>0</v>
      </c>
    </row>
    <row r="441" customFormat="false" ht="12.75" hidden="false" customHeight="false" outlineLevel="0" collapsed="false">
      <c r="A441" s="144"/>
      <c r="B441" s="107" t="n">
        <v>2016</v>
      </c>
      <c r="C441" s="109" t="n">
        <v>2</v>
      </c>
      <c r="D441" s="109" t="n">
        <v>0</v>
      </c>
      <c r="E441" s="109" t="n">
        <v>3</v>
      </c>
      <c r="F441" s="126" t="n">
        <v>1</v>
      </c>
      <c r="G441" s="109" t="n">
        <v>0</v>
      </c>
      <c r="H441" s="109" t="n">
        <v>0</v>
      </c>
      <c r="I441" s="109" t="n">
        <v>1</v>
      </c>
      <c r="J441" s="126"/>
      <c r="K441" s="109"/>
      <c r="L441" s="126"/>
      <c r="M441" s="109"/>
      <c r="N441" s="109"/>
      <c r="O441" s="109"/>
      <c r="P441" s="109"/>
      <c r="Q441" s="109"/>
      <c r="R441" s="126"/>
      <c r="S441" s="109" t="n">
        <f aca="false">C441+D441+E441+F441+G441+H441+I441</f>
        <v>7</v>
      </c>
    </row>
    <row r="442" customFormat="false" ht="12.75" hidden="false" customHeight="false" outlineLevel="0" collapsed="false">
      <c r="A442" s="175" t="s">
        <v>60</v>
      </c>
      <c r="B442" s="107" t="n">
        <v>2015</v>
      </c>
      <c r="C442" s="109" t="n">
        <v>2</v>
      </c>
      <c r="D442" s="109" t="n">
        <v>1</v>
      </c>
      <c r="E442" s="109" t="n">
        <v>4</v>
      </c>
      <c r="F442" s="126" t="n">
        <v>0</v>
      </c>
      <c r="G442" s="109" t="n">
        <v>4</v>
      </c>
      <c r="H442" s="109" t="n">
        <v>1</v>
      </c>
      <c r="I442" s="109" t="n">
        <v>1</v>
      </c>
      <c r="J442" s="126"/>
      <c r="K442" s="109"/>
      <c r="L442" s="126"/>
      <c r="M442" s="109"/>
      <c r="N442" s="109"/>
      <c r="O442" s="109"/>
      <c r="P442" s="109"/>
      <c r="Q442" s="109"/>
      <c r="R442" s="126"/>
      <c r="S442" s="109" t="n">
        <f aca="false">C442+D442+E442+F442+G442+H442+I442</f>
        <v>13</v>
      </c>
    </row>
    <row r="443" customFormat="false" ht="12.75" hidden="false" customHeight="false" outlineLevel="0" collapsed="false">
      <c r="A443" s="144"/>
      <c r="B443" s="112" t="s">
        <v>53</v>
      </c>
      <c r="C443" s="109" t="n">
        <f aca="false">C441-C442</f>
        <v>0</v>
      </c>
      <c r="D443" s="109" t="n">
        <f aca="false">D441-D442</f>
        <v>-1</v>
      </c>
      <c r="E443" s="109" t="n">
        <f aca="false">E441-E442</f>
        <v>-1</v>
      </c>
      <c r="F443" s="126" t="n">
        <f aca="false">F441-F442</f>
        <v>1</v>
      </c>
      <c r="G443" s="109" t="n">
        <f aca="false">G441-G442</f>
        <v>-4</v>
      </c>
      <c r="H443" s="109" t="n">
        <f aca="false">H441-H442</f>
        <v>-1</v>
      </c>
      <c r="I443" s="109" t="n">
        <f aca="false">I441-I442</f>
        <v>0</v>
      </c>
      <c r="J443" s="126"/>
      <c r="K443" s="109"/>
      <c r="L443" s="126"/>
      <c r="M443" s="109"/>
      <c r="N443" s="109"/>
      <c r="O443" s="109"/>
      <c r="P443" s="109"/>
      <c r="Q443" s="109"/>
      <c r="R443" s="126"/>
      <c r="S443" s="109" t="n">
        <f aca="false">S441-S442</f>
        <v>-6</v>
      </c>
    </row>
    <row r="444" customFormat="false" ht="13.5" hidden="false" customHeight="false" outlineLevel="0" collapsed="false">
      <c r="A444" s="142"/>
      <c r="B444" s="114" t="s">
        <v>9</v>
      </c>
      <c r="C444" s="117" t="n">
        <f aca="false">C443/C442</f>
        <v>0</v>
      </c>
      <c r="D444" s="117" t="n">
        <f aca="false">D443/D442</f>
        <v>-1</v>
      </c>
      <c r="E444" s="117" t="n">
        <f aca="false">E443/E442</f>
        <v>-0.25</v>
      </c>
      <c r="F444" s="117" t="n">
        <v>0</v>
      </c>
      <c r="G444" s="117" t="n">
        <f aca="false">G443/G442</f>
        <v>-1</v>
      </c>
      <c r="H444" s="117" t="n">
        <f aca="false">H443/H442</f>
        <v>-1</v>
      </c>
      <c r="I444" s="117" t="n">
        <f aca="false">I443/I442</f>
        <v>0</v>
      </c>
      <c r="J444" s="140"/>
      <c r="K444" s="117"/>
      <c r="L444" s="140"/>
      <c r="M444" s="117"/>
      <c r="N444" s="117"/>
      <c r="O444" s="117"/>
      <c r="P444" s="117"/>
      <c r="Q444" s="117"/>
      <c r="R444" s="140"/>
      <c r="S444" s="117" t="n">
        <f aca="false">S443/S442</f>
        <v>-0.461538461538462</v>
      </c>
    </row>
    <row r="445" customFormat="false" ht="12.75" hidden="false" customHeight="false" outlineLevel="0" collapsed="false">
      <c r="A445" s="144"/>
      <c r="B445" s="107" t="n">
        <v>2016</v>
      </c>
      <c r="C445" s="109" t="n">
        <v>15</v>
      </c>
      <c r="D445" s="188" t="n">
        <v>18</v>
      </c>
      <c r="E445" s="109" t="n">
        <v>17</v>
      </c>
      <c r="F445" s="126" t="n">
        <v>4</v>
      </c>
      <c r="G445" s="109" t="n">
        <v>26</v>
      </c>
      <c r="H445" s="109" t="n">
        <v>1</v>
      </c>
      <c r="I445" s="109" t="n">
        <v>12</v>
      </c>
      <c r="J445" s="126"/>
      <c r="K445" s="109"/>
      <c r="L445" s="126"/>
      <c r="M445" s="109"/>
      <c r="N445" s="109"/>
      <c r="O445" s="109"/>
      <c r="P445" s="109"/>
      <c r="Q445" s="109"/>
      <c r="R445" s="126"/>
      <c r="S445" s="109" t="n">
        <f aca="false">C445+D445+E445+F445+G445+H445+I445</f>
        <v>93</v>
      </c>
    </row>
    <row r="446" customFormat="false" ht="12.75" hidden="false" customHeight="false" outlineLevel="0" collapsed="false">
      <c r="A446" s="175" t="s">
        <v>61</v>
      </c>
      <c r="B446" s="107" t="n">
        <v>2015</v>
      </c>
      <c r="C446" s="109" t="n">
        <v>13</v>
      </c>
      <c r="D446" s="109" t="n">
        <v>16</v>
      </c>
      <c r="E446" s="109" t="n">
        <v>11</v>
      </c>
      <c r="F446" s="126" t="n">
        <v>3</v>
      </c>
      <c r="G446" s="109" t="n">
        <v>19</v>
      </c>
      <c r="H446" s="109" t="n">
        <v>5</v>
      </c>
      <c r="I446" s="109" t="n">
        <v>5</v>
      </c>
      <c r="J446" s="126"/>
      <c r="K446" s="109"/>
      <c r="L446" s="126"/>
      <c r="M446" s="109"/>
      <c r="N446" s="109"/>
      <c r="O446" s="109"/>
      <c r="P446" s="109"/>
      <c r="Q446" s="109"/>
      <c r="R446" s="126"/>
      <c r="S446" s="109" t="n">
        <f aca="false">C446+D446+E446+F446+G446+H446+I446</f>
        <v>72</v>
      </c>
    </row>
    <row r="447" customFormat="false" ht="12.75" hidden="false" customHeight="false" outlineLevel="0" collapsed="false">
      <c r="A447" s="175" t="s">
        <v>62</v>
      </c>
      <c r="B447" s="112" t="s">
        <v>53</v>
      </c>
      <c r="C447" s="109" t="n">
        <f aca="false">C445-C446</f>
        <v>2</v>
      </c>
      <c r="D447" s="109" t="n">
        <f aca="false">D445-D446</f>
        <v>2</v>
      </c>
      <c r="E447" s="109" t="n">
        <f aca="false">E445-E446</f>
        <v>6</v>
      </c>
      <c r="F447" s="126" t="n">
        <f aca="false">F445-F446</f>
        <v>1</v>
      </c>
      <c r="G447" s="109" t="n">
        <f aca="false">G445-G446</f>
        <v>7</v>
      </c>
      <c r="H447" s="109" t="n">
        <f aca="false">H445-H446</f>
        <v>-4</v>
      </c>
      <c r="I447" s="109" t="n">
        <f aca="false">I445-I446</f>
        <v>7</v>
      </c>
      <c r="J447" s="126"/>
      <c r="K447" s="109"/>
      <c r="L447" s="126"/>
      <c r="M447" s="109"/>
      <c r="N447" s="109"/>
      <c r="O447" s="109"/>
      <c r="P447" s="109"/>
      <c r="Q447" s="109"/>
      <c r="R447" s="126"/>
      <c r="S447" s="109" t="n">
        <f aca="false">S445-S446</f>
        <v>21</v>
      </c>
    </row>
    <row r="448" customFormat="false" ht="13.5" hidden="false" customHeight="false" outlineLevel="0" collapsed="false">
      <c r="A448" s="142"/>
      <c r="B448" s="114" t="s">
        <v>9</v>
      </c>
      <c r="C448" s="117" t="n">
        <f aca="false">C447/C446</f>
        <v>0.153846153846154</v>
      </c>
      <c r="D448" s="117" t="n">
        <f aca="false">D447/D446</f>
        <v>0.125</v>
      </c>
      <c r="E448" s="117" t="n">
        <f aca="false">E447/E446</f>
        <v>0.545454545454545</v>
      </c>
      <c r="F448" s="117" t="n">
        <f aca="false">F447/F446</f>
        <v>0.333333333333333</v>
      </c>
      <c r="G448" s="117" t="n">
        <f aca="false">G447/G446</f>
        <v>0.368421052631579</v>
      </c>
      <c r="H448" s="117" t="n">
        <f aca="false">H447/H446</f>
        <v>-0.8</v>
      </c>
      <c r="I448" s="117" t="n">
        <f aca="false">I447/I446</f>
        <v>1.4</v>
      </c>
      <c r="J448" s="140"/>
      <c r="K448" s="117"/>
      <c r="L448" s="140"/>
      <c r="M448" s="117"/>
      <c r="N448" s="117"/>
      <c r="O448" s="117"/>
      <c r="P448" s="117"/>
      <c r="Q448" s="117"/>
      <c r="R448" s="140"/>
      <c r="S448" s="117" t="n">
        <f aca="false">S447/S446</f>
        <v>0.291666666666667</v>
      </c>
    </row>
    <row r="449" customFormat="false" ht="12.75" hidden="false" customHeight="false" outlineLevel="0" collapsed="false">
      <c r="A449" s="144"/>
      <c r="B449" s="107" t="n">
        <v>2016</v>
      </c>
      <c r="C449" s="109" t="n">
        <v>25</v>
      </c>
      <c r="D449" s="109" t="n">
        <v>24</v>
      </c>
      <c r="E449" s="109" t="n">
        <v>43</v>
      </c>
      <c r="F449" s="126" t="n">
        <v>15</v>
      </c>
      <c r="G449" s="109" t="n">
        <v>25</v>
      </c>
      <c r="H449" s="109" t="n">
        <v>7</v>
      </c>
      <c r="I449" s="109" t="n">
        <v>10</v>
      </c>
      <c r="J449" s="126"/>
      <c r="K449" s="109"/>
      <c r="L449" s="126"/>
      <c r="M449" s="109"/>
      <c r="N449" s="109"/>
      <c r="O449" s="109"/>
      <c r="P449" s="109"/>
      <c r="Q449" s="109"/>
      <c r="R449" s="126"/>
      <c r="S449" s="109" t="n">
        <f aca="false">C449+D449+E449+F449+G449+H449+I449</f>
        <v>149</v>
      </c>
    </row>
    <row r="450" customFormat="false" ht="12.75" hidden="false" customHeight="false" outlineLevel="0" collapsed="false">
      <c r="A450" s="175" t="s">
        <v>63</v>
      </c>
      <c r="B450" s="107" t="n">
        <v>2015</v>
      </c>
      <c r="C450" s="109" t="n">
        <v>32</v>
      </c>
      <c r="D450" s="109" t="n">
        <v>33</v>
      </c>
      <c r="E450" s="109" t="n">
        <v>45</v>
      </c>
      <c r="F450" s="126" t="n">
        <v>15</v>
      </c>
      <c r="G450" s="109" t="n">
        <v>62</v>
      </c>
      <c r="H450" s="109" t="n">
        <v>8</v>
      </c>
      <c r="I450" s="109" t="n">
        <v>12</v>
      </c>
      <c r="J450" s="126"/>
      <c r="K450" s="109"/>
      <c r="L450" s="126"/>
      <c r="M450" s="109"/>
      <c r="N450" s="109"/>
      <c r="O450" s="109"/>
      <c r="P450" s="109"/>
      <c r="Q450" s="109"/>
      <c r="R450" s="126"/>
      <c r="S450" s="109" t="n">
        <f aca="false">C450+D450+E450+F450+G450+H450+I450</f>
        <v>207</v>
      </c>
    </row>
    <row r="451" customFormat="false" ht="12.75" hidden="false" customHeight="false" outlineLevel="0" collapsed="false">
      <c r="A451" s="144"/>
      <c r="B451" s="112" t="s">
        <v>53</v>
      </c>
      <c r="C451" s="109" t="n">
        <f aca="false">C449-C450</f>
        <v>-7</v>
      </c>
      <c r="D451" s="109" t="n">
        <f aca="false">D449-D450</f>
        <v>-9</v>
      </c>
      <c r="E451" s="109" t="n">
        <f aca="false">E449-E450</f>
        <v>-2</v>
      </c>
      <c r="F451" s="126" t="n">
        <f aca="false">F449-F450</f>
        <v>0</v>
      </c>
      <c r="G451" s="109" t="n">
        <f aca="false">G449-G450</f>
        <v>-37</v>
      </c>
      <c r="H451" s="109" t="n">
        <f aca="false">H449-H450</f>
        <v>-1</v>
      </c>
      <c r="I451" s="109" t="n">
        <f aca="false">I449-I450</f>
        <v>-2</v>
      </c>
      <c r="J451" s="126"/>
      <c r="K451" s="109"/>
      <c r="L451" s="126"/>
      <c r="M451" s="109"/>
      <c r="N451" s="109"/>
      <c r="O451" s="109"/>
      <c r="P451" s="109"/>
      <c r="Q451" s="109"/>
      <c r="R451" s="126"/>
      <c r="S451" s="109" t="n">
        <f aca="false">S449-S450</f>
        <v>-58</v>
      </c>
    </row>
    <row r="452" customFormat="false" ht="13.5" hidden="false" customHeight="false" outlineLevel="0" collapsed="false">
      <c r="A452" s="142"/>
      <c r="B452" s="114" t="s">
        <v>9</v>
      </c>
      <c r="C452" s="117" t="n">
        <f aca="false">C451/C450</f>
        <v>-0.21875</v>
      </c>
      <c r="D452" s="117" t="n">
        <f aca="false">D451/D450</f>
        <v>-0.272727272727273</v>
      </c>
      <c r="E452" s="117" t="n">
        <f aca="false">E451/E450</f>
        <v>-0.0444444444444444</v>
      </c>
      <c r="F452" s="117" t="n">
        <f aca="false">F451/F450</f>
        <v>0</v>
      </c>
      <c r="G452" s="117" t="n">
        <f aca="false">G451/G450</f>
        <v>-0.596774193548387</v>
      </c>
      <c r="H452" s="117" t="n">
        <f aca="false">H451/H450</f>
        <v>-0.125</v>
      </c>
      <c r="I452" s="117" t="n">
        <f aca="false">I451/I450</f>
        <v>-0.166666666666667</v>
      </c>
      <c r="J452" s="140"/>
      <c r="K452" s="117"/>
      <c r="L452" s="140"/>
      <c r="M452" s="117"/>
      <c r="N452" s="117"/>
      <c r="O452" s="117"/>
      <c r="P452" s="117"/>
      <c r="Q452" s="117"/>
      <c r="R452" s="140"/>
      <c r="S452" s="117" t="n">
        <f aca="false">S451/S450</f>
        <v>-0.280193236714976</v>
      </c>
    </row>
    <row r="453" customFormat="false" ht="12.75" hidden="false" customHeight="false" outlineLevel="0" collapsed="false">
      <c r="A453" s="191"/>
      <c r="B453" s="107" t="n">
        <v>2016</v>
      </c>
      <c r="C453" s="109" t="n">
        <v>24</v>
      </c>
      <c r="D453" s="109" t="n">
        <v>26</v>
      </c>
      <c r="E453" s="109" t="n">
        <v>88</v>
      </c>
      <c r="F453" s="126" t="n">
        <v>11</v>
      </c>
      <c r="G453" s="109" t="n">
        <v>82</v>
      </c>
      <c r="H453" s="109" t="n">
        <v>23</v>
      </c>
      <c r="I453" s="109" t="n">
        <v>13</v>
      </c>
      <c r="J453" s="126"/>
      <c r="K453" s="109"/>
      <c r="L453" s="126"/>
      <c r="M453" s="109"/>
      <c r="N453" s="109"/>
      <c r="O453" s="109"/>
      <c r="P453" s="109"/>
      <c r="Q453" s="109"/>
      <c r="R453" s="126"/>
      <c r="S453" s="109" t="n">
        <f aca="false">C453+D453+E453+F453+G453+H453+I453</f>
        <v>267</v>
      </c>
    </row>
    <row r="454" customFormat="false" ht="12.75" hidden="false" customHeight="false" outlineLevel="0" collapsed="false">
      <c r="A454" s="175" t="s">
        <v>64</v>
      </c>
      <c r="B454" s="107" t="n">
        <v>2015</v>
      </c>
      <c r="C454" s="109" t="n">
        <v>35</v>
      </c>
      <c r="D454" s="109" t="n">
        <v>24</v>
      </c>
      <c r="E454" s="109" t="n">
        <v>75</v>
      </c>
      <c r="F454" s="126" t="n">
        <v>12</v>
      </c>
      <c r="G454" s="109" t="n">
        <v>72</v>
      </c>
      <c r="H454" s="109" t="n">
        <v>23</v>
      </c>
      <c r="I454" s="109" t="n">
        <v>12</v>
      </c>
      <c r="J454" s="126"/>
      <c r="K454" s="109"/>
      <c r="L454" s="126"/>
      <c r="M454" s="109"/>
      <c r="N454" s="109"/>
      <c r="O454" s="109"/>
      <c r="P454" s="109"/>
      <c r="Q454" s="109"/>
      <c r="R454" s="126"/>
      <c r="S454" s="109" t="n">
        <f aca="false">C454+D454+E454+F454+G454+H454+I454</f>
        <v>253</v>
      </c>
    </row>
    <row r="455" customFormat="false" ht="12.75" hidden="false" customHeight="false" outlineLevel="0" collapsed="false">
      <c r="A455" s="175" t="s">
        <v>65</v>
      </c>
      <c r="B455" s="112" t="s">
        <v>53</v>
      </c>
      <c r="C455" s="109" t="n">
        <f aca="false">C453-C454</f>
        <v>-11</v>
      </c>
      <c r="D455" s="109" t="n">
        <f aca="false">D453-D454</f>
        <v>2</v>
      </c>
      <c r="E455" s="109" t="n">
        <f aca="false">E453-E454</f>
        <v>13</v>
      </c>
      <c r="F455" s="126" t="n">
        <f aca="false">F453-F454</f>
        <v>-1</v>
      </c>
      <c r="G455" s="109" t="n">
        <f aca="false">G453-G454</f>
        <v>10</v>
      </c>
      <c r="H455" s="109" t="n">
        <f aca="false">H453-H454</f>
        <v>0</v>
      </c>
      <c r="I455" s="109" t="n">
        <f aca="false">I453-I454</f>
        <v>1</v>
      </c>
      <c r="J455" s="126"/>
      <c r="K455" s="109"/>
      <c r="L455" s="126"/>
      <c r="M455" s="109"/>
      <c r="N455" s="109"/>
      <c r="O455" s="109"/>
      <c r="P455" s="109"/>
      <c r="Q455" s="109"/>
      <c r="R455" s="126"/>
      <c r="S455" s="109" t="n">
        <f aca="false">S453-S454</f>
        <v>14</v>
      </c>
    </row>
    <row r="456" customFormat="false" ht="13.5" hidden="false" customHeight="false" outlineLevel="0" collapsed="false">
      <c r="A456" s="142"/>
      <c r="B456" s="114" t="s">
        <v>9</v>
      </c>
      <c r="C456" s="117" t="n">
        <f aca="false">C455/C454</f>
        <v>-0.314285714285714</v>
      </c>
      <c r="D456" s="117" t="n">
        <f aca="false">D455/D454</f>
        <v>0.0833333333333333</v>
      </c>
      <c r="E456" s="117" t="n">
        <f aca="false">E455/E454</f>
        <v>0.173333333333333</v>
      </c>
      <c r="F456" s="117" t="n">
        <f aca="false">F455/F454</f>
        <v>-0.0833333333333333</v>
      </c>
      <c r="G456" s="117" t="n">
        <f aca="false">G455/G454</f>
        <v>0.138888888888889</v>
      </c>
      <c r="H456" s="117" t="n">
        <f aca="false">H455/H454</f>
        <v>0</v>
      </c>
      <c r="I456" s="117" t="n">
        <f aca="false">I455/I454</f>
        <v>0.0833333333333333</v>
      </c>
      <c r="J456" s="140"/>
      <c r="K456" s="117"/>
      <c r="L456" s="140"/>
      <c r="M456" s="117"/>
      <c r="N456" s="117"/>
      <c r="O456" s="117"/>
      <c r="P456" s="117"/>
      <c r="Q456" s="117"/>
      <c r="R456" s="140"/>
      <c r="S456" s="117" t="n">
        <f aca="false">S455/S454</f>
        <v>0.0553359683794466</v>
      </c>
    </row>
    <row r="457" customFormat="false" ht="12.75" hidden="false" customHeight="false" outlineLevel="0" collapsed="false">
      <c r="A457" s="144"/>
      <c r="B457" s="107" t="n">
        <v>2016</v>
      </c>
      <c r="C457" s="109" t="n">
        <v>0</v>
      </c>
      <c r="D457" s="109" t="n">
        <v>7</v>
      </c>
      <c r="E457" s="109" t="n">
        <v>9</v>
      </c>
      <c r="F457" s="126" t="n">
        <v>0</v>
      </c>
      <c r="G457" s="109" t="n">
        <v>2</v>
      </c>
      <c r="H457" s="109" t="n">
        <v>0</v>
      </c>
      <c r="I457" s="109" t="n">
        <v>1</v>
      </c>
      <c r="J457" s="126"/>
      <c r="K457" s="109"/>
      <c r="L457" s="126"/>
      <c r="M457" s="109"/>
      <c r="N457" s="109"/>
      <c r="O457" s="109"/>
      <c r="P457" s="109"/>
      <c r="Q457" s="109"/>
      <c r="R457" s="126"/>
      <c r="S457" s="109" t="n">
        <f aca="false">C457+D457+E457+F457+G457+H457+I457</f>
        <v>19</v>
      </c>
    </row>
    <row r="458" customFormat="false" ht="12.75" hidden="false" customHeight="false" outlineLevel="0" collapsed="false">
      <c r="A458" s="175" t="s">
        <v>66</v>
      </c>
      <c r="B458" s="107" t="n">
        <v>2015</v>
      </c>
      <c r="C458" s="109" t="n">
        <v>0</v>
      </c>
      <c r="D458" s="109" t="n">
        <v>1</v>
      </c>
      <c r="E458" s="109" t="n">
        <v>4</v>
      </c>
      <c r="F458" s="126" t="n">
        <v>0</v>
      </c>
      <c r="G458" s="109" t="n">
        <v>4</v>
      </c>
      <c r="H458" s="109" t="n">
        <v>1</v>
      </c>
      <c r="I458" s="109" t="n">
        <v>0</v>
      </c>
      <c r="J458" s="126"/>
      <c r="K458" s="109"/>
      <c r="L458" s="126"/>
      <c r="M458" s="109"/>
      <c r="N458" s="109"/>
      <c r="O458" s="109"/>
      <c r="P458" s="109"/>
      <c r="Q458" s="109"/>
      <c r="R458" s="126"/>
      <c r="S458" s="109" t="n">
        <f aca="false">C458+D458+E458+F458+G458+H458+I458</f>
        <v>10</v>
      </c>
    </row>
    <row r="459" customFormat="false" ht="12.75" hidden="false" customHeight="false" outlineLevel="0" collapsed="false">
      <c r="A459" s="175" t="s">
        <v>67</v>
      </c>
      <c r="B459" s="112" t="s">
        <v>53</v>
      </c>
      <c r="C459" s="109" t="n">
        <f aca="false">C457-C458</f>
        <v>0</v>
      </c>
      <c r="D459" s="109" t="n">
        <f aca="false">D457-D458</f>
        <v>6</v>
      </c>
      <c r="E459" s="109" t="n">
        <f aca="false">E457-E458</f>
        <v>5</v>
      </c>
      <c r="F459" s="126" t="n">
        <f aca="false">F457-F458</f>
        <v>0</v>
      </c>
      <c r="G459" s="109" t="n">
        <f aca="false">G457-G458</f>
        <v>-2</v>
      </c>
      <c r="H459" s="109" t="n">
        <f aca="false">H457-H458</f>
        <v>-1</v>
      </c>
      <c r="I459" s="109" t="n">
        <f aca="false">I457-I458</f>
        <v>1</v>
      </c>
      <c r="J459" s="126"/>
      <c r="K459" s="109"/>
      <c r="L459" s="126"/>
      <c r="M459" s="109"/>
      <c r="N459" s="109"/>
      <c r="O459" s="109"/>
      <c r="P459" s="109"/>
      <c r="Q459" s="109"/>
      <c r="R459" s="126"/>
      <c r="S459" s="109" t="n">
        <f aca="false">S457-S458</f>
        <v>9</v>
      </c>
    </row>
    <row r="460" customFormat="false" ht="13.5" hidden="false" customHeight="false" outlineLevel="0" collapsed="false">
      <c r="A460" s="142"/>
      <c r="B460" s="114" t="s">
        <v>9</v>
      </c>
      <c r="C460" s="117" t="n">
        <v>0</v>
      </c>
      <c r="D460" s="117" t="n">
        <f aca="false">D459/D458</f>
        <v>6</v>
      </c>
      <c r="E460" s="117" t="n">
        <f aca="false">E459/E458</f>
        <v>1.25</v>
      </c>
      <c r="F460" s="117" t="n">
        <v>0</v>
      </c>
      <c r="G460" s="117" t="n">
        <f aca="false">G459/G458</f>
        <v>-0.5</v>
      </c>
      <c r="H460" s="117" t="n">
        <f aca="false">H459/H458</f>
        <v>-1</v>
      </c>
      <c r="I460" s="117" t="n">
        <v>0</v>
      </c>
      <c r="J460" s="140"/>
      <c r="K460" s="117"/>
      <c r="L460" s="140"/>
      <c r="M460" s="117"/>
      <c r="N460" s="117"/>
      <c r="O460" s="117"/>
      <c r="P460" s="117"/>
      <c r="Q460" s="117"/>
      <c r="R460" s="140"/>
      <c r="S460" s="117" t="n">
        <f aca="false">S459/S458</f>
        <v>0.9</v>
      </c>
    </row>
    <row r="461" customFormat="false" ht="13.5" hidden="false" customHeight="false" outlineLevel="0" collapsed="false">
      <c r="A461" s="154" t="s">
        <v>179</v>
      </c>
      <c r="B461" s="124"/>
      <c r="C461" s="125"/>
      <c r="D461" s="125"/>
      <c r="E461" s="125"/>
      <c r="F461" s="125"/>
      <c r="G461" s="125"/>
      <c r="H461" s="125"/>
      <c r="I461" s="125"/>
      <c r="J461" s="125"/>
      <c r="K461" s="125"/>
      <c r="L461" s="125"/>
      <c r="M461" s="125"/>
      <c r="N461" s="125"/>
      <c r="O461" s="125"/>
      <c r="P461" s="125"/>
      <c r="Q461" s="125"/>
      <c r="R461" s="125"/>
      <c r="S461" s="125"/>
    </row>
    <row r="462" customFormat="false" ht="13.5" hidden="false" customHeight="false" outlineLevel="0" collapsed="false">
      <c r="A462" s="127"/>
      <c r="B462" s="128"/>
      <c r="C462" s="129" t="s">
        <v>180</v>
      </c>
      <c r="D462" s="130" t="s">
        <v>181</v>
      </c>
      <c r="E462" s="129" t="s">
        <v>182</v>
      </c>
      <c r="F462" s="130" t="s">
        <v>183</v>
      </c>
      <c r="G462" s="129" t="s">
        <v>184</v>
      </c>
      <c r="H462" s="130" t="s">
        <v>185</v>
      </c>
      <c r="I462" s="134"/>
      <c r="J462" s="135"/>
      <c r="K462" s="134"/>
      <c r="L462" s="135"/>
      <c r="M462" s="134"/>
      <c r="N462" s="134"/>
      <c r="O462" s="134"/>
      <c r="P462" s="134"/>
      <c r="Q462" s="134"/>
      <c r="R462" s="135"/>
      <c r="S462" s="134" t="s">
        <v>51</v>
      </c>
    </row>
    <row r="463" customFormat="false" ht="12.75" hidden="false" customHeight="false" outlineLevel="0" collapsed="false">
      <c r="A463" s="136"/>
      <c r="B463" s="107" t="n">
        <v>2016</v>
      </c>
      <c r="C463" s="109" t="n">
        <f aca="false">C467+C471+C479+C483+C487+C491+C495</f>
        <v>80</v>
      </c>
      <c r="D463" s="109" t="n">
        <f aca="false">D467+D471+D479+D483+D487+D491+D495</f>
        <v>48</v>
      </c>
      <c r="E463" s="109" t="n">
        <f aca="false">E467+E471+E479+E483+E487+E491+E495</f>
        <v>347</v>
      </c>
      <c r="F463" s="109" t="n">
        <f aca="false">F467+F471+F479+F483+F487+F491+F495</f>
        <v>252</v>
      </c>
      <c r="G463" s="109" t="n">
        <f aca="false">G467+G471+G479+G483+G487+G491+G495</f>
        <v>300</v>
      </c>
      <c r="H463" s="109" t="n">
        <f aca="false">H467+H471+H479+H483+H487+H491+H495</f>
        <v>134</v>
      </c>
      <c r="I463" s="109"/>
      <c r="J463" s="109"/>
      <c r="K463" s="109"/>
      <c r="L463" s="109"/>
      <c r="M463" s="109"/>
      <c r="N463" s="109"/>
      <c r="O463" s="109"/>
      <c r="P463" s="109"/>
      <c r="Q463" s="109"/>
      <c r="R463" s="137"/>
      <c r="S463" s="109" t="n">
        <f aca="false">S467+S471+S479+S483+S487+S491+S495</f>
        <v>1161</v>
      </c>
    </row>
    <row r="464" customFormat="false" ht="12.75" hidden="false" customHeight="false" outlineLevel="0" collapsed="false">
      <c r="A464" s="138" t="s">
        <v>52</v>
      </c>
      <c r="B464" s="107" t="n">
        <v>2015</v>
      </c>
      <c r="C464" s="109" t="n">
        <f aca="false">C468+C472+C480+C484+C488+C492+C496</f>
        <v>79</v>
      </c>
      <c r="D464" s="109" t="n">
        <f aca="false">D468+D472+D480+D484+D488+D492+D496</f>
        <v>45</v>
      </c>
      <c r="E464" s="109" t="n">
        <f aca="false">E468+E472+E480+E484+E488+E492+E496</f>
        <v>395</v>
      </c>
      <c r="F464" s="109" t="n">
        <f aca="false">F468+F472+F480+F484+F488+F492+F496</f>
        <v>238</v>
      </c>
      <c r="G464" s="109" t="n">
        <f aca="false">G468+G472+G480+G484+G488+G492+G496</f>
        <v>321</v>
      </c>
      <c r="H464" s="109" t="n">
        <f aca="false">H468+H472+H480+H484+H488+H492+H496</f>
        <v>130</v>
      </c>
      <c r="I464" s="109"/>
      <c r="J464" s="109"/>
      <c r="K464" s="109"/>
      <c r="L464" s="109"/>
      <c r="M464" s="109"/>
      <c r="N464" s="109"/>
      <c r="O464" s="109"/>
      <c r="P464" s="109"/>
      <c r="Q464" s="109"/>
      <c r="R464" s="137"/>
      <c r="S464" s="109" t="n">
        <f aca="false">S468+S472+S480+S484+S488+S492+S496</f>
        <v>1208</v>
      </c>
    </row>
    <row r="465" customFormat="false" ht="12.75" hidden="false" customHeight="false" outlineLevel="0" collapsed="false">
      <c r="A465" s="136"/>
      <c r="B465" s="112" t="s">
        <v>53</v>
      </c>
      <c r="C465" s="109" t="n">
        <f aca="false">C463-C464</f>
        <v>1</v>
      </c>
      <c r="D465" s="126" t="n">
        <f aca="false">D463-D464</f>
        <v>3</v>
      </c>
      <c r="E465" s="109" t="n">
        <f aca="false">E463-E464</f>
        <v>-48</v>
      </c>
      <c r="F465" s="126" t="n">
        <f aca="false">F463-F464</f>
        <v>14</v>
      </c>
      <c r="G465" s="109" t="n">
        <f aca="false">G463-G464</f>
        <v>-21</v>
      </c>
      <c r="H465" s="126" t="n">
        <f aca="false">H463-H464</f>
        <v>4</v>
      </c>
      <c r="I465" s="109"/>
      <c r="J465" s="126"/>
      <c r="K465" s="109"/>
      <c r="L465" s="126"/>
      <c r="M465" s="109"/>
      <c r="N465" s="109"/>
      <c r="O465" s="109"/>
      <c r="P465" s="109"/>
      <c r="Q465" s="109"/>
      <c r="R465" s="126"/>
      <c r="S465" s="109" t="n">
        <f aca="false">S463-S464</f>
        <v>-47</v>
      </c>
    </row>
    <row r="466" customFormat="false" ht="13.5" hidden="false" customHeight="false" outlineLevel="0" collapsed="false">
      <c r="A466" s="139"/>
      <c r="B466" s="114" t="s">
        <v>9</v>
      </c>
      <c r="C466" s="117" t="n">
        <f aca="false">C465/C464</f>
        <v>0.0126582278481013</v>
      </c>
      <c r="D466" s="117" t="n">
        <f aca="false">D465/D464</f>
        <v>0.0666666666666667</v>
      </c>
      <c r="E466" s="117" t="n">
        <f aca="false">E465/E464</f>
        <v>-0.121518987341772</v>
      </c>
      <c r="F466" s="140" t="n">
        <f aca="false">F465/F464</f>
        <v>0.0588235294117647</v>
      </c>
      <c r="G466" s="117" t="n">
        <f aca="false">G465/G464</f>
        <v>-0.0654205607476635</v>
      </c>
      <c r="H466" s="140" t="n">
        <f aca="false">H465/H464</f>
        <v>0.0307692307692308</v>
      </c>
      <c r="I466" s="117"/>
      <c r="J466" s="140"/>
      <c r="K466" s="117"/>
      <c r="L466" s="140"/>
      <c r="M466" s="117"/>
      <c r="N466" s="117"/>
      <c r="O466" s="117"/>
      <c r="P466" s="117"/>
      <c r="Q466" s="117"/>
      <c r="R466" s="140"/>
      <c r="S466" s="117" t="n">
        <f aca="false">S465/S464</f>
        <v>-0.0389072847682119</v>
      </c>
    </row>
    <row r="467" customFormat="false" ht="12.75" hidden="false" customHeight="false" outlineLevel="0" collapsed="false">
      <c r="A467" s="136"/>
      <c r="B467" s="107" t="n">
        <v>2016</v>
      </c>
      <c r="C467" s="109" t="n">
        <v>0</v>
      </c>
      <c r="D467" s="126" t="n">
        <v>2</v>
      </c>
      <c r="E467" s="109" t="n">
        <v>7</v>
      </c>
      <c r="F467" s="126" t="n">
        <v>3</v>
      </c>
      <c r="G467" s="109" t="n">
        <v>9</v>
      </c>
      <c r="H467" s="126" t="n">
        <v>1</v>
      </c>
      <c r="I467" s="109"/>
      <c r="J467" s="126"/>
      <c r="K467" s="109"/>
      <c r="L467" s="126"/>
      <c r="M467" s="109"/>
      <c r="N467" s="109"/>
      <c r="O467" s="109"/>
      <c r="P467" s="109"/>
      <c r="Q467" s="109"/>
      <c r="R467" s="126"/>
      <c r="S467" s="109" t="n">
        <f aca="false">C467+D467+E467+F467+G467+H467</f>
        <v>22</v>
      </c>
    </row>
    <row r="468" customFormat="false" ht="12.75" hidden="false" customHeight="false" outlineLevel="0" collapsed="false">
      <c r="A468" s="175" t="s">
        <v>54</v>
      </c>
      <c r="B468" s="107" t="n">
        <v>2015</v>
      </c>
      <c r="C468" s="109" t="n">
        <v>1</v>
      </c>
      <c r="D468" s="126" t="n">
        <v>0</v>
      </c>
      <c r="E468" s="109" t="n">
        <v>4</v>
      </c>
      <c r="F468" s="126" t="n">
        <v>1</v>
      </c>
      <c r="G468" s="109" t="n">
        <v>12</v>
      </c>
      <c r="H468" s="126" t="n">
        <v>4</v>
      </c>
      <c r="I468" s="109"/>
      <c r="J468" s="126"/>
      <c r="K468" s="109"/>
      <c r="L468" s="126"/>
      <c r="M468" s="109"/>
      <c r="N468" s="109"/>
      <c r="O468" s="109"/>
      <c r="P468" s="109"/>
      <c r="Q468" s="109"/>
      <c r="R468" s="126"/>
      <c r="S468" s="109" t="n">
        <f aca="false">C468+D468+E468+F468+G468+H468</f>
        <v>22</v>
      </c>
    </row>
    <row r="469" customFormat="false" ht="12.75" hidden="false" customHeight="false" outlineLevel="0" collapsed="false">
      <c r="A469" s="175" t="s">
        <v>55</v>
      </c>
      <c r="B469" s="112" t="s">
        <v>53</v>
      </c>
      <c r="C469" s="109" t="n">
        <f aca="false">C467-C468</f>
        <v>-1</v>
      </c>
      <c r="D469" s="126" t="n">
        <f aca="false">D467-D468</f>
        <v>2</v>
      </c>
      <c r="E469" s="109" t="n">
        <f aca="false">E467-E468</f>
        <v>3</v>
      </c>
      <c r="F469" s="126" t="n">
        <f aca="false">F467-F468</f>
        <v>2</v>
      </c>
      <c r="G469" s="109" t="n">
        <f aca="false">G467-G468</f>
        <v>-3</v>
      </c>
      <c r="H469" s="126" t="n">
        <f aca="false">H467-H468</f>
        <v>-3</v>
      </c>
      <c r="I469" s="109"/>
      <c r="J469" s="126"/>
      <c r="K469" s="109"/>
      <c r="L469" s="126"/>
      <c r="M469" s="109"/>
      <c r="N469" s="109"/>
      <c r="O469" s="109"/>
      <c r="P469" s="109"/>
      <c r="Q469" s="109"/>
      <c r="R469" s="126"/>
      <c r="S469" s="109" t="n">
        <f aca="false">S467-S468</f>
        <v>0</v>
      </c>
    </row>
    <row r="470" customFormat="false" ht="13.5" hidden="false" customHeight="false" outlineLevel="0" collapsed="false">
      <c r="A470" s="142"/>
      <c r="B470" s="114" t="s">
        <v>9</v>
      </c>
      <c r="C470" s="117" t="n">
        <f aca="false">C469/C468</f>
        <v>-1</v>
      </c>
      <c r="D470" s="117" t="n">
        <v>0</v>
      </c>
      <c r="E470" s="117" t="n">
        <f aca="false">E469/E468</f>
        <v>0.75</v>
      </c>
      <c r="F470" s="117" t="n">
        <f aca="false">F469/F468</f>
        <v>2</v>
      </c>
      <c r="G470" s="117" t="n">
        <f aca="false">G469/G468</f>
        <v>-0.25</v>
      </c>
      <c r="H470" s="117" t="n">
        <f aca="false">H469/H468</f>
        <v>-0.75</v>
      </c>
      <c r="I470" s="117"/>
      <c r="J470" s="140"/>
      <c r="K470" s="117"/>
      <c r="L470" s="140"/>
      <c r="M470" s="117"/>
      <c r="N470" s="117"/>
      <c r="O470" s="117"/>
      <c r="P470" s="117"/>
      <c r="Q470" s="117"/>
      <c r="R470" s="140"/>
      <c r="S470" s="117" t="n">
        <f aca="false">S469/S468</f>
        <v>0</v>
      </c>
    </row>
    <row r="471" customFormat="false" ht="12.75" hidden="false" customHeight="false" outlineLevel="0" collapsed="false">
      <c r="A471" s="144"/>
      <c r="B471" s="107" t="n">
        <v>2016</v>
      </c>
      <c r="C471" s="109" t="n">
        <v>0</v>
      </c>
      <c r="D471" s="126" t="n">
        <v>0</v>
      </c>
      <c r="E471" s="109" t="n">
        <v>6</v>
      </c>
      <c r="F471" s="126" t="n">
        <v>0</v>
      </c>
      <c r="G471" s="109" t="n">
        <v>2</v>
      </c>
      <c r="H471" s="126" t="n">
        <v>1</v>
      </c>
      <c r="I471" s="109" t="s">
        <v>186</v>
      </c>
      <c r="J471" s="126"/>
      <c r="K471" s="109"/>
      <c r="L471" s="126"/>
      <c r="M471" s="109"/>
      <c r="N471" s="109"/>
      <c r="O471" s="109"/>
      <c r="P471" s="109"/>
      <c r="Q471" s="109"/>
      <c r="R471" s="126"/>
      <c r="S471" s="109" t="n">
        <f aca="false">C471+D471+E471+F471+G471+H471</f>
        <v>9</v>
      </c>
    </row>
    <row r="472" customFormat="false" ht="12.75" hidden="false" customHeight="false" outlineLevel="0" collapsed="false">
      <c r="A472" s="175" t="s">
        <v>56</v>
      </c>
      <c r="B472" s="107" t="n">
        <v>2015</v>
      </c>
      <c r="C472" s="109" t="n">
        <v>0</v>
      </c>
      <c r="D472" s="126" t="n">
        <v>0</v>
      </c>
      <c r="E472" s="109" t="n">
        <v>1</v>
      </c>
      <c r="F472" s="126" t="n">
        <v>1</v>
      </c>
      <c r="G472" s="109" t="n">
        <v>2</v>
      </c>
      <c r="H472" s="126" t="n">
        <v>3</v>
      </c>
      <c r="I472" s="109"/>
      <c r="J472" s="126"/>
      <c r="K472" s="109"/>
      <c r="L472" s="126"/>
      <c r="M472" s="109"/>
      <c r="N472" s="109"/>
      <c r="O472" s="109"/>
      <c r="P472" s="109"/>
      <c r="Q472" s="109"/>
      <c r="R472" s="126"/>
      <c r="S472" s="109" t="n">
        <f aca="false">C472+D472+E472+F472+G472+H472</f>
        <v>7</v>
      </c>
    </row>
    <row r="473" customFormat="false" ht="12.75" hidden="false" customHeight="false" outlineLevel="0" collapsed="false">
      <c r="A473" s="175" t="s">
        <v>57</v>
      </c>
      <c r="B473" s="112" t="s">
        <v>53</v>
      </c>
      <c r="C473" s="109" t="n">
        <f aca="false">C471-C472</f>
        <v>0</v>
      </c>
      <c r="D473" s="126" t="n">
        <f aca="false">D471-D472</f>
        <v>0</v>
      </c>
      <c r="E473" s="109" t="n">
        <f aca="false">E471-E472</f>
        <v>5</v>
      </c>
      <c r="F473" s="126" t="n">
        <f aca="false">F471-F472</f>
        <v>-1</v>
      </c>
      <c r="G473" s="109" t="n">
        <f aca="false">G471-G472</f>
        <v>0</v>
      </c>
      <c r="H473" s="126" t="n">
        <f aca="false">H471-H472</f>
        <v>-2</v>
      </c>
      <c r="I473" s="109"/>
      <c r="J473" s="126"/>
      <c r="K473" s="109"/>
      <c r="L473" s="126"/>
      <c r="M473" s="109"/>
      <c r="N473" s="109"/>
      <c r="O473" s="109"/>
      <c r="P473" s="109"/>
      <c r="Q473" s="109"/>
      <c r="R473" s="126"/>
      <c r="S473" s="109" t="n">
        <f aca="false">S471-S472</f>
        <v>2</v>
      </c>
    </row>
    <row r="474" customFormat="false" ht="13.5" hidden="false" customHeight="false" outlineLevel="0" collapsed="false">
      <c r="A474" s="142"/>
      <c r="B474" s="114" t="s">
        <v>9</v>
      </c>
      <c r="C474" s="117" t="n">
        <v>0</v>
      </c>
      <c r="D474" s="117" t="n">
        <v>0</v>
      </c>
      <c r="E474" s="117" t="n">
        <f aca="false">E473/E472</f>
        <v>5</v>
      </c>
      <c r="F474" s="117" t="n">
        <f aca="false">F473/F472</f>
        <v>-1</v>
      </c>
      <c r="G474" s="117" t="n">
        <f aca="false">G473/G472</f>
        <v>0</v>
      </c>
      <c r="H474" s="117" t="n">
        <f aca="false">H473/H472</f>
        <v>-0.666666666666667</v>
      </c>
      <c r="I474" s="117"/>
      <c r="J474" s="140"/>
      <c r="K474" s="117"/>
      <c r="L474" s="140"/>
      <c r="M474" s="117"/>
      <c r="N474" s="117"/>
      <c r="O474" s="117"/>
      <c r="P474" s="117"/>
      <c r="Q474" s="117"/>
      <c r="R474" s="140"/>
      <c r="S474" s="117" t="n">
        <f aca="false">S473/S472</f>
        <v>0.285714285714286</v>
      </c>
    </row>
    <row r="475" customFormat="false" ht="12.75" hidden="false" customHeight="false" outlineLevel="0" collapsed="false">
      <c r="A475" s="144"/>
      <c r="B475" s="107" t="n">
        <v>2016</v>
      </c>
      <c r="C475" s="109" t="n">
        <v>0</v>
      </c>
      <c r="D475" s="126" t="n">
        <v>0</v>
      </c>
      <c r="E475" s="109" t="n">
        <v>0</v>
      </c>
      <c r="F475" s="126" t="n">
        <v>0</v>
      </c>
      <c r="G475" s="109" t="n">
        <v>0</v>
      </c>
      <c r="H475" s="126" t="n">
        <v>0</v>
      </c>
      <c r="I475" s="109"/>
      <c r="J475" s="126"/>
      <c r="K475" s="109"/>
      <c r="L475" s="126"/>
      <c r="M475" s="109"/>
      <c r="N475" s="109"/>
      <c r="O475" s="109"/>
      <c r="P475" s="109"/>
      <c r="Q475" s="109"/>
      <c r="R475" s="126"/>
      <c r="S475" s="109" t="n">
        <f aca="false">C475+D475+E475+F475+G475+H475</f>
        <v>0</v>
      </c>
    </row>
    <row r="476" customFormat="false" ht="12.75" hidden="false" customHeight="false" outlineLevel="0" collapsed="false">
      <c r="A476" s="138" t="s">
        <v>58</v>
      </c>
      <c r="B476" s="107" t="n">
        <v>2015</v>
      </c>
      <c r="C476" s="109" t="n">
        <v>0</v>
      </c>
      <c r="D476" s="126" t="n">
        <v>0</v>
      </c>
      <c r="E476" s="109" t="n">
        <v>0</v>
      </c>
      <c r="F476" s="126" t="n">
        <v>0</v>
      </c>
      <c r="G476" s="109" t="n">
        <v>0</v>
      </c>
      <c r="H476" s="126" t="n">
        <v>0</v>
      </c>
      <c r="I476" s="109"/>
      <c r="J476" s="126"/>
      <c r="K476" s="109"/>
      <c r="L476" s="126"/>
      <c r="M476" s="109"/>
      <c r="N476" s="109"/>
      <c r="O476" s="109"/>
      <c r="P476" s="109"/>
      <c r="Q476" s="109"/>
      <c r="R476" s="126"/>
      <c r="S476" s="109" t="n">
        <f aca="false">C476+D476+E476+F476+G476+H476</f>
        <v>0</v>
      </c>
    </row>
    <row r="477" customFormat="false" ht="12.75" hidden="false" customHeight="false" outlineLevel="0" collapsed="false">
      <c r="A477" s="138" t="s">
        <v>59</v>
      </c>
      <c r="B477" s="112" t="s">
        <v>53</v>
      </c>
      <c r="C477" s="109" t="n">
        <f aca="false">C475-C476</f>
        <v>0</v>
      </c>
      <c r="D477" s="126" t="n">
        <f aca="false">D475-D476</f>
        <v>0</v>
      </c>
      <c r="E477" s="109" t="n">
        <f aca="false">E475-E476</f>
        <v>0</v>
      </c>
      <c r="F477" s="126" t="n">
        <f aca="false">F475-F476</f>
        <v>0</v>
      </c>
      <c r="G477" s="109" t="n">
        <f aca="false">G475-G476</f>
        <v>0</v>
      </c>
      <c r="H477" s="109" t="n">
        <f aca="false">H475-H476</f>
        <v>0</v>
      </c>
      <c r="I477" s="109"/>
      <c r="J477" s="126"/>
      <c r="K477" s="109"/>
      <c r="L477" s="126"/>
      <c r="M477" s="109"/>
      <c r="N477" s="109"/>
      <c r="O477" s="109"/>
      <c r="P477" s="109"/>
      <c r="Q477" s="109"/>
      <c r="R477" s="126"/>
      <c r="S477" s="109" t="n">
        <f aca="false">S475-S476</f>
        <v>0</v>
      </c>
    </row>
    <row r="478" customFormat="false" ht="13.5" hidden="false" customHeight="false" outlineLevel="0" collapsed="false">
      <c r="A478" s="142"/>
      <c r="B478" s="114" t="s">
        <v>9</v>
      </c>
      <c r="C478" s="117" t="n">
        <v>0</v>
      </c>
      <c r="D478" s="117" t="n">
        <v>0</v>
      </c>
      <c r="E478" s="117" t="n">
        <v>0</v>
      </c>
      <c r="F478" s="117" t="n">
        <v>0</v>
      </c>
      <c r="G478" s="117" t="n">
        <v>0</v>
      </c>
      <c r="H478" s="117" t="n">
        <v>0</v>
      </c>
      <c r="I478" s="117"/>
      <c r="J478" s="140"/>
      <c r="K478" s="117"/>
      <c r="L478" s="140"/>
      <c r="M478" s="117"/>
      <c r="N478" s="117"/>
      <c r="O478" s="117"/>
      <c r="P478" s="117"/>
      <c r="Q478" s="117"/>
      <c r="R478" s="140"/>
      <c r="S478" s="117" t="n">
        <v>0</v>
      </c>
    </row>
    <row r="479" customFormat="false" ht="12.75" hidden="false" customHeight="false" outlineLevel="0" collapsed="false">
      <c r="A479" s="144" t="s">
        <v>187</v>
      </c>
      <c r="B479" s="107" t="n">
        <v>2016</v>
      </c>
      <c r="C479" s="109" t="n">
        <v>4</v>
      </c>
      <c r="D479" s="126" t="n">
        <v>0</v>
      </c>
      <c r="E479" s="109" t="n">
        <v>17</v>
      </c>
      <c r="F479" s="126" t="n">
        <v>14</v>
      </c>
      <c r="G479" s="109" t="n">
        <v>22</v>
      </c>
      <c r="H479" s="126" t="n">
        <v>2</v>
      </c>
      <c r="I479" s="109"/>
      <c r="J479" s="126"/>
      <c r="K479" s="109"/>
      <c r="L479" s="126"/>
      <c r="M479" s="109"/>
      <c r="N479" s="109"/>
      <c r="O479" s="109"/>
      <c r="P479" s="109"/>
      <c r="Q479" s="109"/>
      <c r="R479" s="126"/>
      <c r="S479" s="109" t="n">
        <f aca="false">C479+D479+E479+F479+G479+H479</f>
        <v>59</v>
      </c>
    </row>
    <row r="480" customFormat="false" ht="12.75" hidden="false" customHeight="false" outlineLevel="0" collapsed="false">
      <c r="A480" s="175" t="s">
        <v>60</v>
      </c>
      <c r="B480" s="107" t="n">
        <v>2015</v>
      </c>
      <c r="C480" s="109" t="n">
        <v>1</v>
      </c>
      <c r="D480" s="126" t="n">
        <v>1</v>
      </c>
      <c r="E480" s="109" t="n">
        <v>22</v>
      </c>
      <c r="F480" s="126" t="n">
        <v>19</v>
      </c>
      <c r="G480" s="109" t="n">
        <v>26</v>
      </c>
      <c r="H480" s="126" t="n">
        <v>4</v>
      </c>
      <c r="I480" s="109"/>
      <c r="J480" s="126"/>
      <c r="K480" s="109"/>
      <c r="L480" s="126"/>
      <c r="M480" s="109"/>
      <c r="N480" s="109"/>
      <c r="O480" s="109"/>
      <c r="P480" s="109"/>
      <c r="Q480" s="109"/>
      <c r="R480" s="126"/>
      <c r="S480" s="109" t="n">
        <f aca="false">C480+D480+E480+F480+G480+H480</f>
        <v>73</v>
      </c>
    </row>
    <row r="481" customFormat="false" ht="12.75" hidden="false" customHeight="false" outlineLevel="0" collapsed="false">
      <c r="A481" s="144"/>
      <c r="B481" s="112" t="s">
        <v>53</v>
      </c>
      <c r="C481" s="109" t="n">
        <f aca="false">C479-C480</f>
        <v>3</v>
      </c>
      <c r="D481" s="126" t="n">
        <f aca="false">D479-D480</f>
        <v>-1</v>
      </c>
      <c r="E481" s="109" t="n">
        <f aca="false">E479-E480</f>
        <v>-5</v>
      </c>
      <c r="F481" s="126" t="n">
        <f aca="false">F479-F480</f>
        <v>-5</v>
      </c>
      <c r="G481" s="109" t="n">
        <f aca="false">G479-G480</f>
        <v>-4</v>
      </c>
      <c r="H481" s="109" t="n">
        <f aca="false">H479-H480</f>
        <v>-2</v>
      </c>
      <c r="I481" s="109"/>
      <c r="J481" s="126"/>
      <c r="K481" s="109"/>
      <c r="L481" s="126"/>
      <c r="M481" s="109"/>
      <c r="N481" s="109"/>
      <c r="O481" s="109"/>
      <c r="P481" s="109"/>
      <c r="Q481" s="109"/>
      <c r="R481" s="126"/>
      <c r="S481" s="109" t="n">
        <f aca="false">S479-S480</f>
        <v>-14</v>
      </c>
    </row>
    <row r="482" customFormat="false" ht="13.5" hidden="false" customHeight="false" outlineLevel="0" collapsed="false">
      <c r="A482" s="142"/>
      <c r="B482" s="114" t="s">
        <v>9</v>
      </c>
      <c r="C482" s="117" t="n">
        <f aca="false">C481/C480</f>
        <v>3</v>
      </c>
      <c r="D482" s="117" t="n">
        <f aca="false">D481/D480</f>
        <v>-1</v>
      </c>
      <c r="E482" s="117" t="n">
        <f aca="false">E481/E480</f>
        <v>-0.227272727272727</v>
      </c>
      <c r="F482" s="117" t="n">
        <f aca="false">F481/F480</f>
        <v>-0.263157894736842</v>
      </c>
      <c r="G482" s="117" t="n">
        <f aca="false">G481/G480</f>
        <v>-0.153846153846154</v>
      </c>
      <c r="H482" s="117" t="n">
        <f aca="false">H481/H480</f>
        <v>-0.5</v>
      </c>
      <c r="I482" s="117"/>
      <c r="J482" s="140"/>
      <c r="K482" s="117"/>
      <c r="L482" s="140"/>
      <c r="M482" s="117"/>
      <c r="N482" s="117"/>
      <c r="O482" s="117"/>
      <c r="P482" s="117"/>
      <c r="Q482" s="117"/>
      <c r="R482" s="140"/>
      <c r="S482" s="117" t="n">
        <f aca="false">S481/S480</f>
        <v>-0.191780821917808</v>
      </c>
    </row>
    <row r="483" customFormat="false" ht="12.75" hidden="false" customHeight="false" outlineLevel="0" collapsed="false">
      <c r="A483" s="144"/>
      <c r="B483" s="107" t="n">
        <v>2016</v>
      </c>
      <c r="C483" s="109" t="n">
        <v>15</v>
      </c>
      <c r="D483" s="126" t="n">
        <v>2</v>
      </c>
      <c r="E483" s="109" t="n">
        <v>62</v>
      </c>
      <c r="F483" s="126" t="n">
        <v>21</v>
      </c>
      <c r="G483" s="109" t="n">
        <v>23</v>
      </c>
      <c r="H483" s="126" t="n">
        <v>25</v>
      </c>
      <c r="I483" s="109"/>
      <c r="J483" s="126"/>
      <c r="K483" s="109"/>
      <c r="L483" s="126"/>
      <c r="M483" s="109"/>
      <c r="N483" s="109"/>
      <c r="O483" s="109"/>
      <c r="P483" s="109"/>
      <c r="Q483" s="109"/>
      <c r="R483" s="126"/>
      <c r="S483" s="109" t="n">
        <f aca="false">C483+D483+E483+F483+G483+H483</f>
        <v>148</v>
      </c>
    </row>
    <row r="484" customFormat="false" ht="12.75" hidden="false" customHeight="false" outlineLevel="0" collapsed="false">
      <c r="A484" s="175" t="s">
        <v>61</v>
      </c>
      <c r="B484" s="107" t="n">
        <v>2015</v>
      </c>
      <c r="C484" s="109" t="n">
        <v>13</v>
      </c>
      <c r="D484" s="126" t="n">
        <v>10</v>
      </c>
      <c r="E484" s="109" t="n">
        <v>55</v>
      </c>
      <c r="F484" s="126" t="n">
        <v>12</v>
      </c>
      <c r="G484" s="109" t="n">
        <v>35</v>
      </c>
      <c r="H484" s="126" t="n">
        <v>26</v>
      </c>
      <c r="I484" s="109"/>
      <c r="J484" s="126"/>
      <c r="K484" s="109"/>
      <c r="L484" s="126"/>
      <c r="M484" s="109"/>
      <c r="N484" s="109"/>
      <c r="O484" s="109"/>
      <c r="P484" s="109"/>
      <c r="Q484" s="109"/>
      <c r="R484" s="126"/>
      <c r="S484" s="109" t="n">
        <f aca="false">C484+D484+E484+F484+G484+H484</f>
        <v>151</v>
      </c>
    </row>
    <row r="485" customFormat="false" ht="12.75" hidden="false" customHeight="false" outlineLevel="0" collapsed="false">
      <c r="A485" s="175" t="s">
        <v>62</v>
      </c>
      <c r="B485" s="112" t="s">
        <v>53</v>
      </c>
      <c r="C485" s="109" t="n">
        <f aca="false">C483-C484</f>
        <v>2</v>
      </c>
      <c r="D485" s="126" t="n">
        <f aca="false">D483-D484</f>
        <v>-8</v>
      </c>
      <c r="E485" s="109" t="n">
        <f aca="false">E483-E484</f>
        <v>7</v>
      </c>
      <c r="F485" s="126" t="n">
        <f aca="false">F483-F484</f>
        <v>9</v>
      </c>
      <c r="G485" s="109" t="n">
        <f aca="false">G483-G484</f>
        <v>-12</v>
      </c>
      <c r="H485" s="126" t="n">
        <f aca="false">H483-H484</f>
        <v>-1</v>
      </c>
      <c r="I485" s="109"/>
      <c r="J485" s="126"/>
      <c r="K485" s="109"/>
      <c r="L485" s="126"/>
      <c r="M485" s="109"/>
      <c r="N485" s="109"/>
      <c r="O485" s="109"/>
      <c r="P485" s="109"/>
      <c r="Q485" s="109"/>
      <c r="R485" s="126"/>
      <c r="S485" s="109" t="n">
        <f aca="false">S483-S484</f>
        <v>-3</v>
      </c>
    </row>
    <row r="486" customFormat="false" ht="13.5" hidden="false" customHeight="false" outlineLevel="0" collapsed="false">
      <c r="A486" s="142"/>
      <c r="B486" s="114" t="s">
        <v>9</v>
      </c>
      <c r="C486" s="117" t="n">
        <f aca="false">C485/C484</f>
        <v>0.153846153846154</v>
      </c>
      <c r="D486" s="117" t="n">
        <f aca="false">D485/D484</f>
        <v>-0.8</v>
      </c>
      <c r="E486" s="117" t="n">
        <f aca="false">E485/E484</f>
        <v>0.127272727272727</v>
      </c>
      <c r="F486" s="117" t="n">
        <f aca="false">F485/F484</f>
        <v>0.75</v>
      </c>
      <c r="G486" s="117" t="n">
        <f aca="false">G485/G484</f>
        <v>-0.342857142857143</v>
      </c>
      <c r="H486" s="117" t="n">
        <f aca="false">H485/H484</f>
        <v>-0.0384615384615385</v>
      </c>
      <c r="I486" s="117"/>
      <c r="J486" s="140"/>
      <c r="K486" s="117"/>
      <c r="L486" s="140"/>
      <c r="M486" s="117"/>
      <c r="N486" s="117"/>
      <c r="O486" s="117"/>
      <c r="P486" s="117"/>
      <c r="Q486" s="117"/>
      <c r="R486" s="140"/>
      <c r="S486" s="117" t="n">
        <f aca="false">S485/S484</f>
        <v>-0.0198675496688742</v>
      </c>
    </row>
    <row r="487" customFormat="false" ht="12.75" hidden="false" customHeight="false" outlineLevel="0" collapsed="false">
      <c r="A487" s="144"/>
      <c r="B487" s="107" t="n">
        <v>2016</v>
      </c>
      <c r="C487" s="109" t="n">
        <v>24</v>
      </c>
      <c r="D487" s="126" t="n">
        <v>18</v>
      </c>
      <c r="E487" s="109" t="n">
        <v>76</v>
      </c>
      <c r="F487" s="126" t="n">
        <v>61</v>
      </c>
      <c r="G487" s="109" t="n">
        <v>75</v>
      </c>
      <c r="H487" s="126" t="n">
        <v>41</v>
      </c>
      <c r="I487" s="109"/>
      <c r="J487" s="126"/>
      <c r="K487" s="109"/>
      <c r="L487" s="126"/>
      <c r="M487" s="109"/>
      <c r="N487" s="109"/>
      <c r="O487" s="109"/>
      <c r="P487" s="109"/>
      <c r="Q487" s="109"/>
      <c r="R487" s="126"/>
      <c r="S487" s="109" t="n">
        <f aca="false">C487+D487+E487+F487+G487+H487</f>
        <v>295</v>
      </c>
    </row>
    <row r="488" customFormat="false" ht="12.75" hidden="false" customHeight="false" outlineLevel="0" collapsed="false">
      <c r="A488" s="175" t="s">
        <v>63</v>
      </c>
      <c r="B488" s="107" t="n">
        <v>2015</v>
      </c>
      <c r="C488" s="109" t="n">
        <v>23</v>
      </c>
      <c r="D488" s="126" t="n">
        <v>13</v>
      </c>
      <c r="E488" s="109" t="n">
        <v>70</v>
      </c>
      <c r="F488" s="126" t="n">
        <v>50</v>
      </c>
      <c r="G488" s="109" t="n">
        <v>92</v>
      </c>
      <c r="H488" s="126" t="n">
        <v>40</v>
      </c>
      <c r="I488" s="109"/>
      <c r="J488" s="126"/>
      <c r="K488" s="109"/>
      <c r="L488" s="126"/>
      <c r="M488" s="109"/>
      <c r="N488" s="109"/>
      <c r="O488" s="109"/>
      <c r="P488" s="109"/>
      <c r="Q488" s="109"/>
      <c r="R488" s="126"/>
      <c r="S488" s="109" t="n">
        <f aca="false">C488+D488+E488+F488+G488+H488</f>
        <v>288</v>
      </c>
    </row>
    <row r="489" customFormat="false" ht="12.75" hidden="false" customHeight="false" outlineLevel="0" collapsed="false">
      <c r="A489" s="144"/>
      <c r="B489" s="112" t="s">
        <v>53</v>
      </c>
      <c r="C489" s="109" t="n">
        <f aca="false">C487-C488</f>
        <v>1</v>
      </c>
      <c r="D489" s="126" t="n">
        <f aca="false">D487-D488</f>
        <v>5</v>
      </c>
      <c r="E489" s="109" t="n">
        <f aca="false">E487-E488</f>
        <v>6</v>
      </c>
      <c r="F489" s="126" t="n">
        <f aca="false">F487-F488</f>
        <v>11</v>
      </c>
      <c r="G489" s="109" t="n">
        <f aca="false">G487-G488</f>
        <v>-17</v>
      </c>
      <c r="H489" s="126" t="n">
        <f aca="false">H487-H488</f>
        <v>1</v>
      </c>
      <c r="I489" s="109"/>
      <c r="J489" s="126"/>
      <c r="K489" s="109"/>
      <c r="L489" s="126"/>
      <c r="M489" s="109"/>
      <c r="N489" s="109"/>
      <c r="O489" s="109"/>
      <c r="P489" s="109"/>
      <c r="Q489" s="109"/>
      <c r="R489" s="126"/>
      <c r="S489" s="109" t="n">
        <f aca="false">S487-S488</f>
        <v>7</v>
      </c>
    </row>
    <row r="490" customFormat="false" ht="13.5" hidden="false" customHeight="false" outlineLevel="0" collapsed="false">
      <c r="A490" s="142"/>
      <c r="B490" s="114" t="s">
        <v>9</v>
      </c>
      <c r="C490" s="117" t="n">
        <f aca="false">C489/C488</f>
        <v>0.0434782608695652</v>
      </c>
      <c r="D490" s="117" t="n">
        <f aca="false">D489/D488</f>
        <v>0.384615384615385</v>
      </c>
      <c r="E490" s="117" t="n">
        <f aca="false">E489/E488</f>
        <v>0.0857142857142857</v>
      </c>
      <c r="F490" s="140" t="n">
        <f aca="false">F489/F488</f>
        <v>0.22</v>
      </c>
      <c r="G490" s="117" t="n">
        <f aca="false">G489/G488</f>
        <v>-0.184782608695652</v>
      </c>
      <c r="H490" s="140" t="n">
        <f aca="false">H489/H488</f>
        <v>0.025</v>
      </c>
      <c r="I490" s="117"/>
      <c r="J490" s="140"/>
      <c r="K490" s="117"/>
      <c r="L490" s="140"/>
      <c r="M490" s="117"/>
      <c r="N490" s="117"/>
      <c r="O490" s="117"/>
      <c r="P490" s="117"/>
      <c r="Q490" s="117"/>
      <c r="R490" s="140"/>
      <c r="S490" s="117" t="n">
        <f aca="false">S489/S488</f>
        <v>0.0243055555555556</v>
      </c>
    </row>
    <row r="491" customFormat="false" ht="12.75" hidden="false" customHeight="false" outlineLevel="0" collapsed="false">
      <c r="A491" s="144"/>
      <c r="B491" s="107" t="n">
        <v>2016</v>
      </c>
      <c r="C491" s="109" t="n">
        <v>35</v>
      </c>
      <c r="D491" s="126" t="n">
        <v>24</v>
      </c>
      <c r="E491" s="109" t="n">
        <v>169</v>
      </c>
      <c r="F491" s="126" t="n">
        <v>141</v>
      </c>
      <c r="G491" s="109" t="n">
        <v>150</v>
      </c>
      <c r="H491" s="126" t="n">
        <v>63</v>
      </c>
      <c r="I491" s="109"/>
      <c r="J491" s="126"/>
      <c r="K491" s="109"/>
      <c r="L491" s="126"/>
      <c r="M491" s="109"/>
      <c r="N491" s="109"/>
      <c r="O491" s="109"/>
      <c r="P491" s="109"/>
      <c r="Q491" s="109"/>
      <c r="R491" s="126"/>
      <c r="S491" s="109" t="n">
        <f aca="false">C491+D491+E491+F491+G491+H491</f>
        <v>582</v>
      </c>
    </row>
    <row r="492" customFormat="false" ht="12.75" hidden="false" customHeight="false" outlineLevel="0" collapsed="false">
      <c r="A492" s="175" t="s">
        <v>64</v>
      </c>
      <c r="B492" s="107" t="n">
        <v>2015</v>
      </c>
      <c r="C492" s="109" t="n">
        <v>35</v>
      </c>
      <c r="D492" s="126" t="n">
        <v>19</v>
      </c>
      <c r="E492" s="109" t="n">
        <v>224</v>
      </c>
      <c r="F492" s="126" t="n">
        <v>150</v>
      </c>
      <c r="G492" s="109" t="n">
        <v>137</v>
      </c>
      <c r="H492" s="126" t="n">
        <v>51</v>
      </c>
      <c r="I492" s="109"/>
      <c r="J492" s="126"/>
      <c r="K492" s="109"/>
      <c r="L492" s="126"/>
      <c r="M492" s="109"/>
      <c r="N492" s="109"/>
      <c r="O492" s="109"/>
      <c r="P492" s="109"/>
      <c r="Q492" s="109"/>
      <c r="R492" s="126"/>
      <c r="S492" s="109" t="n">
        <f aca="false">C492+D492+E492+F492+G492+H492</f>
        <v>616</v>
      </c>
    </row>
    <row r="493" customFormat="false" ht="12.75" hidden="false" customHeight="false" outlineLevel="0" collapsed="false">
      <c r="A493" s="175" t="s">
        <v>65</v>
      </c>
      <c r="B493" s="112" t="s">
        <v>53</v>
      </c>
      <c r="C493" s="109" t="n">
        <f aca="false">C491-C492</f>
        <v>0</v>
      </c>
      <c r="D493" s="126" t="n">
        <f aca="false">D491-D492</f>
        <v>5</v>
      </c>
      <c r="E493" s="109" t="n">
        <f aca="false">E491-E492</f>
        <v>-55</v>
      </c>
      <c r="F493" s="126" t="n">
        <f aca="false">F491-F492</f>
        <v>-9</v>
      </c>
      <c r="G493" s="109" t="n">
        <f aca="false">G491-G492</f>
        <v>13</v>
      </c>
      <c r="H493" s="126" t="n">
        <f aca="false">H491-H492</f>
        <v>12</v>
      </c>
      <c r="I493" s="109"/>
      <c r="J493" s="126"/>
      <c r="K493" s="109"/>
      <c r="L493" s="126"/>
      <c r="M493" s="109"/>
      <c r="N493" s="109"/>
      <c r="O493" s="109"/>
      <c r="P493" s="109"/>
      <c r="Q493" s="109"/>
      <c r="R493" s="126"/>
      <c r="S493" s="109" t="n">
        <f aca="false">S491-S492</f>
        <v>-34</v>
      </c>
    </row>
    <row r="494" customFormat="false" ht="13.5" hidden="false" customHeight="false" outlineLevel="0" collapsed="false">
      <c r="A494" s="142"/>
      <c r="B494" s="114" t="s">
        <v>9</v>
      </c>
      <c r="C494" s="117" t="n">
        <f aca="false">C493/C492</f>
        <v>0</v>
      </c>
      <c r="D494" s="117" t="n">
        <f aca="false">D493/D492</f>
        <v>0.263157894736842</v>
      </c>
      <c r="E494" s="117" t="n">
        <f aca="false">E493/E492</f>
        <v>-0.245535714285714</v>
      </c>
      <c r="F494" s="140" t="n">
        <f aca="false">F493/F492</f>
        <v>-0.06</v>
      </c>
      <c r="G494" s="117" t="n">
        <f aca="false">G493/G492</f>
        <v>0.0948905109489051</v>
      </c>
      <c r="H494" s="140" t="n">
        <f aca="false">H493/H492</f>
        <v>0.235294117647059</v>
      </c>
      <c r="I494" s="117"/>
      <c r="J494" s="140"/>
      <c r="K494" s="117"/>
      <c r="L494" s="140"/>
      <c r="M494" s="117"/>
      <c r="N494" s="117"/>
      <c r="O494" s="117"/>
      <c r="P494" s="117"/>
      <c r="Q494" s="117"/>
      <c r="R494" s="140"/>
      <c r="S494" s="117" t="n">
        <f aca="false">S493/S492</f>
        <v>-0.0551948051948052</v>
      </c>
    </row>
    <row r="495" customFormat="false" ht="12.75" hidden="false" customHeight="false" outlineLevel="0" collapsed="false">
      <c r="A495" s="144"/>
      <c r="B495" s="107" t="n">
        <v>2016</v>
      </c>
      <c r="C495" s="109" t="n">
        <v>2</v>
      </c>
      <c r="D495" s="126" t="n">
        <v>2</v>
      </c>
      <c r="E495" s="109" t="n">
        <v>10</v>
      </c>
      <c r="F495" s="126" t="n">
        <v>12</v>
      </c>
      <c r="G495" s="109" t="n">
        <v>19</v>
      </c>
      <c r="H495" s="126" t="n">
        <v>1</v>
      </c>
      <c r="I495" s="109"/>
      <c r="J495" s="126"/>
      <c r="K495" s="109"/>
      <c r="L495" s="126"/>
      <c r="M495" s="109"/>
      <c r="N495" s="109"/>
      <c r="O495" s="109"/>
      <c r="P495" s="109"/>
      <c r="Q495" s="109"/>
      <c r="R495" s="126"/>
      <c r="S495" s="109" t="n">
        <f aca="false">C495+D495+E495+F495+G495+H495</f>
        <v>46</v>
      </c>
    </row>
    <row r="496" customFormat="false" ht="12.75" hidden="false" customHeight="false" outlineLevel="0" collapsed="false">
      <c r="A496" s="175" t="s">
        <v>66</v>
      </c>
      <c r="B496" s="107" t="n">
        <v>2015</v>
      </c>
      <c r="C496" s="109" t="n">
        <v>6</v>
      </c>
      <c r="D496" s="126" t="n">
        <v>2</v>
      </c>
      <c r="E496" s="109" t="n">
        <v>19</v>
      </c>
      <c r="F496" s="126" t="n">
        <v>5</v>
      </c>
      <c r="G496" s="109" t="n">
        <v>17</v>
      </c>
      <c r="H496" s="126" t="n">
        <v>2</v>
      </c>
      <c r="I496" s="109"/>
      <c r="J496" s="126"/>
      <c r="K496" s="109"/>
      <c r="L496" s="126"/>
      <c r="M496" s="109"/>
      <c r="N496" s="109"/>
      <c r="O496" s="109"/>
      <c r="P496" s="109"/>
      <c r="Q496" s="109"/>
      <c r="R496" s="126"/>
      <c r="S496" s="109" t="n">
        <f aca="false">C496+D496+E496+F496+G496+H496</f>
        <v>51</v>
      </c>
    </row>
    <row r="497" customFormat="false" ht="12.75" hidden="false" customHeight="false" outlineLevel="0" collapsed="false">
      <c r="A497" s="175" t="s">
        <v>67</v>
      </c>
      <c r="B497" s="112" t="s">
        <v>53</v>
      </c>
      <c r="C497" s="109" t="n">
        <f aca="false">C495-C496</f>
        <v>-4</v>
      </c>
      <c r="D497" s="126" t="n">
        <f aca="false">D495-D496</f>
        <v>0</v>
      </c>
      <c r="E497" s="109" t="n">
        <f aca="false">E495-E496</f>
        <v>-9</v>
      </c>
      <c r="F497" s="126" t="n">
        <f aca="false">F495-F496</f>
        <v>7</v>
      </c>
      <c r="G497" s="109" t="n">
        <f aca="false">G495-G496</f>
        <v>2</v>
      </c>
      <c r="H497" s="126" t="n">
        <f aca="false">H495-H496</f>
        <v>-1</v>
      </c>
      <c r="I497" s="109"/>
      <c r="J497" s="126"/>
      <c r="K497" s="109"/>
      <c r="L497" s="126"/>
      <c r="M497" s="109"/>
      <c r="N497" s="109"/>
      <c r="O497" s="109"/>
      <c r="P497" s="109"/>
      <c r="Q497" s="109"/>
      <c r="R497" s="126"/>
      <c r="S497" s="109" t="n">
        <f aca="false">S495-S496</f>
        <v>-5</v>
      </c>
    </row>
    <row r="498" customFormat="false" ht="13.5" hidden="false" customHeight="false" outlineLevel="0" collapsed="false">
      <c r="A498" s="142"/>
      <c r="B498" s="114" t="s">
        <v>9</v>
      </c>
      <c r="C498" s="117" t="n">
        <f aca="false">C497/C496</f>
        <v>-0.666666666666667</v>
      </c>
      <c r="D498" s="117" t="n">
        <f aca="false">D497/D496</f>
        <v>0</v>
      </c>
      <c r="E498" s="117" t="n">
        <f aca="false">E497/E496</f>
        <v>-0.473684210526316</v>
      </c>
      <c r="F498" s="117" t="n">
        <f aca="false">F497/F496</f>
        <v>1.4</v>
      </c>
      <c r="G498" s="117" t="n">
        <f aca="false">G497/G496</f>
        <v>0.117647058823529</v>
      </c>
      <c r="H498" s="117" t="n">
        <f aca="false">H497/H496</f>
        <v>-0.5</v>
      </c>
      <c r="I498" s="117"/>
      <c r="J498" s="140"/>
      <c r="K498" s="117"/>
      <c r="L498" s="140"/>
      <c r="M498" s="117"/>
      <c r="N498" s="117"/>
      <c r="O498" s="117"/>
      <c r="P498" s="117"/>
      <c r="Q498" s="117"/>
      <c r="R498" s="140"/>
      <c r="S498" s="117" t="n">
        <f aca="false">S497/S496</f>
        <v>-0.0980392156862745</v>
      </c>
    </row>
    <row r="499" customFormat="false" ht="13.5" hidden="false" customHeight="false" outlineLevel="0" collapsed="false">
      <c r="A499" s="154" t="s">
        <v>188</v>
      </c>
      <c r="B499" s="124"/>
      <c r="C499" s="125"/>
      <c r="D499" s="125"/>
      <c r="E499" s="125"/>
      <c r="F499" s="125"/>
      <c r="G499" s="125"/>
      <c r="H499" s="125"/>
      <c r="I499" s="125"/>
      <c r="J499" s="125"/>
      <c r="K499" s="125"/>
      <c r="L499" s="125"/>
      <c r="M499" s="125"/>
      <c r="N499" s="125"/>
      <c r="O499" s="125"/>
      <c r="P499" s="125"/>
      <c r="Q499" s="125"/>
      <c r="R499" s="125"/>
      <c r="S499" s="125"/>
    </row>
    <row r="500" customFormat="false" ht="13.5" hidden="false" customHeight="false" outlineLevel="0" collapsed="false">
      <c r="A500" s="127"/>
      <c r="B500" s="128"/>
      <c r="C500" s="129" t="s">
        <v>189</v>
      </c>
      <c r="D500" s="129" t="s">
        <v>190</v>
      </c>
      <c r="E500" s="130" t="s">
        <v>191</v>
      </c>
      <c r="F500" s="129" t="s">
        <v>192</v>
      </c>
      <c r="G500" s="129" t="s">
        <v>193</v>
      </c>
      <c r="H500" s="135" t="s">
        <v>2</v>
      </c>
      <c r="I500" s="134"/>
      <c r="J500" s="135"/>
      <c r="K500" s="134"/>
      <c r="L500" s="135"/>
      <c r="M500" s="134"/>
      <c r="N500" s="134"/>
      <c r="O500" s="134"/>
      <c r="P500" s="134"/>
      <c r="Q500" s="134"/>
      <c r="R500" s="135"/>
      <c r="S500" s="134" t="s">
        <v>51</v>
      </c>
    </row>
    <row r="501" customFormat="false" ht="12.75" hidden="false" customHeight="false" outlineLevel="0" collapsed="false">
      <c r="A501" s="136"/>
      <c r="B501" s="107" t="n">
        <v>2016</v>
      </c>
      <c r="C501" s="109" t="n">
        <f aca="false">C505+C509+C517+C521+C525+C529+C533</f>
        <v>163</v>
      </c>
      <c r="D501" s="109" t="n">
        <f aca="false">D505+D509+D517+D521+D525+D529+D533</f>
        <v>250</v>
      </c>
      <c r="E501" s="109" t="n">
        <f aca="false">E505+E509+E517+E521+E525+E529+E533</f>
        <v>230</v>
      </c>
      <c r="F501" s="109" t="n">
        <f aca="false">F505+F509+F517+F521+F525+F529+F533</f>
        <v>154</v>
      </c>
      <c r="G501" s="109" t="n">
        <f aca="false">G505+G509+G517+G521+G525+G529+G533</f>
        <v>146</v>
      </c>
      <c r="H501" s="109"/>
      <c r="I501" s="109"/>
      <c r="J501" s="109"/>
      <c r="K501" s="109"/>
      <c r="L501" s="109"/>
      <c r="M501" s="109"/>
      <c r="N501" s="109"/>
      <c r="O501" s="109"/>
      <c r="P501" s="109"/>
      <c r="Q501" s="109"/>
      <c r="R501" s="137"/>
      <c r="S501" s="109" t="n">
        <f aca="false">S505+S509+S517+S521+S525+S529+S533</f>
        <v>943</v>
      </c>
    </row>
    <row r="502" customFormat="false" ht="12.75" hidden="false" customHeight="false" outlineLevel="0" collapsed="false">
      <c r="A502" s="138" t="s">
        <v>52</v>
      </c>
      <c r="B502" s="107" t="n">
        <v>2015</v>
      </c>
      <c r="C502" s="109" t="n">
        <f aca="false">C506+C510+C518+C522+C526+C530+C534</f>
        <v>148</v>
      </c>
      <c r="D502" s="109" t="n">
        <f aca="false">D506+D510+D518+D522+D526+D530+D534</f>
        <v>292</v>
      </c>
      <c r="E502" s="109" t="n">
        <f aca="false">E506+E510+E518+E522+E526+E530+E534</f>
        <v>220</v>
      </c>
      <c r="F502" s="109" t="n">
        <f aca="false">F506+F510+F518+F522+F526+F530+F534</f>
        <v>171</v>
      </c>
      <c r="G502" s="109" t="n">
        <f aca="false">G506+G510+G518+G522+G526+G530+G534</f>
        <v>189</v>
      </c>
      <c r="H502" s="109"/>
      <c r="I502" s="109"/>
      <c r="J502" s="109"/>
      <c r="K502" s="109"/>
      <c r="L502" s="109"/>
      <c r="M502" s="109"/>
      <c r="N502" s="109"/>
      <c r="O502" s="109"/>
      <c r="P502" s="109"/>
      <c r="Q502" s="109"/>
      <c r="R502" s="137"/>
      <c r="S502" s="109" t="n">
        <f aca="false">S506+S510+S518+S522+S526+S530+S534</f>
        <v>1020</v>
      </c>
    </row>
    <row r="503" customFormat="false" ht="12.75" hidden="false" customHeight="false" outlineLevel="0" collapsed="false">
      <c r="A503" s="136"/>
      <c r="B503" s="112" t="s">
        <v>53</v>
      </c>
      <c r="C503" s="109" t="n">
        <f aca="false">C501-C502</f>
        <v>15</v>
      </c>
      <c r="D503" s="109" t="n">
        <f aca="false">D501-D502</f>
        <v>-42</v>
      </c>
      <c r="E503" s="126" t="n">
        <f aca="false">E501-E502</f>
        <v>10</v>
      </c>
      <c r="F503" s="109" t="n">
        <f aca="false">F501-F502</f>
        <v>-17</v>
      </c>
      <c r="G503" s="109" t="n">
        <f aca="false">G501-G502</f>
        <v>-43</v>
      </c>
      <c r="H503" s="126"/>
      <c r="I503" s="109"/>
      <c r="J503" s="126"/>
      <c r="K503" s="109"/>
      <c r="L503" s="126"/>
      <c r="M503" s="109"/>
      <c r="N503" s="109"/>
      <c r="O503" s="109"/>
      <c r="P503" s="109"/>
      <c r="Q503" s="109"/>
      <c r="R503" s="126"/>
      <c r="S503" s="109" t="n">
        <f aca="false">S501-S502</f>
        <v>-77</v>
      </c>
    </row>
    <row r="504" customFormat="false" ht="13.5" hidden="false" customHeight="false" outlineLevel="0" collapsed="false">
      <c r="A504" s="139"/>
      <c r="B504" s="114" t="s">
        <v>9</v>
      </c>
      <c r="C504" s="117" t="n">
        <f aca="false">C503/C502</f>
        <v>0.101351351351351</v>
      </c>
      <c r="D504" s="117" t="n">
        <f aca="false">D503/D502</f>
        <v>-0.143835616438356</v>
      </c>
      <c r="E504" s="140" t="n">
        <f aca="false">E503/E502</f>
        <v>0.0454545454545455</v>
      </c>
      <c r="F504" s="117" t="n">
        <f aca="false">F503/F502</f>
        <v>-0.0994152046783626</v>
      </c>
      <c r="G504" s="117" t="n">
        <f aca="false">G503/G502</f>
        <v>-0.227513227513228</v>
      </c>
      <c r="H504" s="140"/>
      <c r="I504" s="117"/>
      <c r="J504" s="140"/>
      <c r="K504" s="117"/>
      <c r="L504" s="140"/>
      <c r="M504" s="117"/>
      <c r="N504" s="117"/>
      <c r="O504" s="117"/>
      <c r="P504" s="117"/>
      <c r="Q504" s="117"/>
      <c r="R504" s="140"/>
      <c r="S504" s="117" t="n">
        <f aca="false">S503/S502</f>
        <v>-0.0754901960784314</v>
      </c>
    </row>
    <row r="505" customFormat="false" ht="12.75" hidden="false" customHeight="false" outlineLevel="0" collapsed="false">
      <c r="A505" s="136"/>
      <c r="B505" s="107" t="n">
        <v>2016</v>
      </c>
      <c r="C505" s="109" t="n">
        <v>5</v>
      </c>
      <c r="D505" s="109" t="n">
        <v>3</v>
      </c>
      <c r="E505" s="126" t="n">
        <v>3</v>
      </c>
      <c r="F505" s="109" t="n">
        <v>3</v>
      </c>
      <c r="G505" s="109" t="n">
        <v>1</v>
      </c>
      <c r="H505" s="126"/>
      <c r="I505" s="109"/>
      <c r="J505" s="126"/>
      <c r="K505" s="109"/>
      <c r="L505" s="126"/>
      <c r="M505" s="109"/>
      <c r="N505" s="109"/>
      <c r="O505" s="109"/>
      <c r="P505" s="109"/>
      <c r="Q505" s="109"/>
      <c r="R505" s="126"/>
      <c r="S505" s="109" t="n">
        <f aca="false">C505+D505+E505+F505+G505</f>
        <v>15</v>
      </c>
    </row>
    <row r="506" customFormat="false" ht="12.75" hidden="false" customHeight="false" outlineLevel="0" collapsed="false">
      <c r="A506" s="175" t="s">
        <v>54</v>
      </c>
      <c r="B506" s="107" t="n">
        <v>2015</v>
      </c>
      <c r="C506" s="109" t="n">
        <v>5</v>
      </c>
      <c r="D506" s="109" t="n">
        <v>3</v>
      </c>
      <c r="E506" s="126" t="n">
        <v>3</v>
      </c>
      <c r="F506" s="109" t="n">
        <v>2</v>
      </c>
      <c r="G506" s="109" t="n">
        <v>2</v>
      </c>
      <c r="H506" s="126"/>
      <c r="I506" s="109"/>
      <c r="J506" s="126"/>
      <c r="K506" s="109"/>
      <c r="L506" s="126"/>
      <c r="M506" s="109"/>
      <c r="N506" s="109"/>
      <c r="O506" s="109"/>
      <c r="P506" s="109"/>
      <c r="Q506" s="109"/>
      <c r="R506" s="126"/>
      <c r="S506" s="109" t="n">
        <f aca="false">C506+D506+E506+F506+G506</f>
        <v>15</v>
      </c>
    </row>
    <row r="507" customFormat="false" ht="12.75" hidden="false" customHeight="false" outlineLevel="0" collapsed="false">
      <c r="A507" s="175" t="s">
        <v>55</v>
      </c>
      <c r="B507" s="112" t="s">
        <v>53</v>
      </c>
      <c r="C507" s="109" t="n">
        <f aca="false">C505-C506</f>
        <v>0</v>
      </c>
      <c r="D507" s="109" t="n">
        <f aca="false">D505-D506</f>
        <v>0</v>
      </c>
      <c r="E507" s="126" t="n">
        <f aca="false">E505-E506</f>
        <v>0</v>
      </c>
      <c r="F507" s="109" t="n">
        <f aca="false">F505-F506</f>
        <v>1</v>
      </c>
      <c r="G507" s="109" t="n">
        <f aca="false">G505-G506</f>
        <v>-1</v>
      </c>
      <c r="H507" s="126"/>
      <c r="I507" s="109"/>
      <c r="J507" s="126"/>
      <c r="K507" s="109"/>
      <c r="L507" s="126"/>
      <c r="M507" s="109"/>
      <c r="N507" s="109"/>
      <c r="O507" s="109"/>
      <c r="P507" s="109"/>
      <c r="Q507" s="109"/>
      <c r="R507" s="126"/>
      <c r="S507" s="109" t="n">
        <f aca="false">S505-S506</f>
        <v>0</v>
      </c>
    </row>
    <row r="508" customFormat="false" ht="13.5" hidden="false" customHeight="false" outlineLevel="0" collapsed="false">
      <c r="A508" s="142"/>
      <c r="B508" s="114" t="s">
        <v>9</v>
      </c>
      <c r="C508" s="140" t="n">
        <f aca="false">C507/C506</f>
        <v>0</v>
      </c>
      <c r="D508" s="140" t="n">
        <f aca="false">D507/D506</f>
        <v>0</v>
      </c>
      <c r="E508" s="140" t="n">
        <f aca="false">E507/E506</f>
        <v>0</v>
      </c>
      <c r="F508" s="140" t="n">
        <f aca="false">F507/F506</f>
        <v>0.5</v>
      </c>
      <c r="G508" s="143" t="n">
        <f aca="false">G507/G506</f>
        <v>-0.5</v>
      </c>
      <c r="H508" s="140"/>
      <c r="I508" s="117"/>
      <c r="J508" s="140"/>
      <c r="K508" s="117"/>
      <c r="L508" s="140"/>
      <c r="M508" s="117"/>
      <c r="N508" s="117"/>
      <c r="O508" s="117"/>
      <c r="P508" s="117"/>
      <c r="Q508" s="117"/>
      <c r="R508" s="140"/>
      <c r="S508" s="117" t="n">
        <f aca="false">S507/S506</f>
        <v>0</v>
      </c>
    </row>
    <row r="509" customFormat="false" ht="12.75" hidden="false" customHeight="false" outlineLevel="0" collapsed="false">
      <c r="A509" s="144"/>
      <c r="B509" s="107" t="n">
        <v>2016</v>
      </c>
      <c r="C509" s="109" t="n">
        <v>0</v>
      </c>
      <c r="D509" s="109" t="n">
        <v>1</v>
      </c>
      <c r="E509" s="126" t="n">
        <v>0</v>
      </c>
      <c r="F509" s="109" t="n">
        <v>0</v>
      </c>
      <c r="G509" s="109" t="n">
        <v>1</v>
      </c>
      <c r="H509" s="126"/>
      <c r="I509" s="109" t="s">
        <v>186</v>
      </c>
      <c r="J509" s="126"/>
      <c r="K509" s="109"/>
      <c r="L509" s="126"/>
      <c r="M509" s="109"/>
      <c r="N509" s="109"/>
      <c r="O509" s="109"/>
      <c r="P509" s="109"/>
      <c r="Q509" s="109"/>
      <c r="R509" s="126"/>
      <c r="S509" s="109" t="n">
        <f aca="false">C509+D509+E509+F509+G509</f>
        <v>2</v>
      </c>
    </row>
    <row r="510" customFormat="false" ht="12.75" hidden="false" customHeight="false" outlineLevel="0" collapsed="false">
      <c r="A510" s="175" t="s">
        <v>56</v>
      </c>
      <c r="B510" s="107" t="n">
        <v>2015</v>
      </c>
      <c r="C510" s="109" t="n">
        <v>0</v>
      </c>
      <c r="D510" s="109" t="n">
        <v>0</v>
      </c>
      <c r="E510" s="126" t="n">
        <v>0</v>
      </c>
      <c r="F510" s="109" t="n">
        <v>1</v>
      </c>
      <c r="G510" s="109" t="n">
        <v>0</v>
      </c>
      <c r="H510" s="126"/>
      <c r="I510" s="109"/>
      <c r="J510" s="126"/>
      <c r="K510" s="109"/>
      <c r="L510" s="126"/>
      <c r="M510" s="109"/>
      <c r="N510" s="109"/>
      <c r="O510" s="109"/>
      <c r="P510" s="109"/>
      <c r="Q510" s="109"/>
      <c r="R510" s="126"/>
      <c r="S510" s="109" t="n">
        <f aca="false">C510+D510+E510+F510+G510</f>
        <v>1</v>
      </c>
    </row>
    <row r="511" customFormat="false" ht="12.75" hidden="false" customHeight="false" outlineLevel="0" collapsed="false">
      <c r="A511" s="175" t="s">
        <v>57</v>
      </c>
      <c r="B511" s="112" t="s">
        <v>53</v>
      </c>
      <c r="C511" s="109" t="n">
        <f aca="false">C509-C510</f>
        <v>0</v>
      </c>
      <c r="D511" s="109" t="n">
        <f aca="false">D509-D510</f>
        <v>1</v>
      </c>
      <c r="E511" s="151" t="n">
        <f aca="false">E509-E510</f>
        <v>0</v>
      </c>
      <c r="F511" s="109" t="n">
        <f aca="false">F509-F510</f>
        <v>-1</v>
      </c>
      <c r="G511" s="109" t="n">
        <f aca="false">G509-G510</f>
        <v>1</v>
      </c>
      <c r="H511" s="126"/>
      <c r="I511" s="109"/>
      <c r="J511" s="126"/>
      <c r="K511" s="109"/>
      <c r="L511" s="126"/>
      <c r="M511" s="109"/>
      <c r="N511" s="109"/>
      <c r="O511" s="109"/>
      <c r="P511" s="109"/>
      <c r="Q511" s="109"/>
      <c r="R511" s="126"/>
      <c r="S511" s="109" t="n">
        <f aca="false">S509-S510</f>
        <v>1</v>
      </c>
    </row>
    <row r="512" customFormat="false" ht="13.5" hidden="false" customHeight="false" outlineLevel="0" collapsed="false">
      <c r="A512" s="142"/>
      <c r="B512" s="114" t="s">
        <v>9</v>
      </c>
      <c r="C512" s="140" t="n">
        <v>0</v>
      </c>
      <c r="D512" s="140" t="n">
        <v>0</v>
      </c>
      <c r="E512" s="140" t="n">
        <v>0</v>
      </c>
      <c r="F512" s="140" t="n">
        <f aca="false">F511/F510</f>
        <v>-1</v>
      </c>
      <c r="G512" s="140" t="n">
        <v>0</v>
      </c>
      <c r="H512" s="140"/>
      <c r="I512" s="117"/>
      <c r="J512" s="140"/>
      <c r="K512" s="117"/>
      <c r="L512" s="140"/>
      <c r="M512" s="117"/>
      <c r="N512" s="117"/>
      <c r="O512" s="117"/>
      <c r="P512" s="117"/>
      <c r="Q512" s="117"/>
      <c r="R512" s="140"/>
      <c r="S512" s="117" t="n">
        <f aca="false">S511/S510</f>
        <v>1</v>
      </c>
    </row>
    <row r="513" customFormat="false" ht="12.75" hidden="false" customHeight="false" outlineLevel="0" collapsed="false">
      <c r="A513" s="144"/>
      <c r="B513" s="107" t="n">
        <v>2016</v>
      </c>
      <c r="C513" s="109" t="n">
        <v>0</v>
      </c>
      <c r="D513" s="109" t="n">
        <v>0</v>
      </c>
      <c r="E513" s="126" t="n">
        <v>0</v>
      </c>
      <c r="F513" s="109" t="n">
        <v>0</v>
      </c>
      <c r="G513" s="109" t="n">
        <v>0</v>
      </c>
      <c r="H513" s="126"/>
      <c r="I513" s="109"/>
      <c r="J513" s="126"/>
      <c r="K513" s="109"/>
      <c r="L513" s="126"/>
      <c r="M513" s="109"/>
      <c r="N513" s="109"/>
      <c r="O513" s="109"/>
      <c r="P513" s="109"/>
      <c r="Q513" s="109"/>
      <c r="R513" s="126"/>
      <c r="S513" s="109" t="n">
        <f aca="false">C513+D513+E513+F513+G513</f>
        <v>0</v>
      </c>
    </row>
    <row r="514" customFormat="false" ht="12.75" hidden="false" customHeight="false" outlineLevel="0" collapsed="false">
      <c r="A514" s="138" t="s">
        <v>58</v>
      </c>
      <c r="B514" s="107" t="n">
        <v>2015</v>
      </c>
      <c r="C514" s="109" t="n">
        <v>0</v>
      </c>
      <c r="D514" s="109" t="n">
        <v>0</v>
      </c>
      <c r="E514" s="126" t="n">
        <v>0</v>
      </c>
      <c r="F514" s="109" t="n">
        <v>0</v>
      </c>
      <c r="G514" s="109" t="n">
        <v>0</v>
      </c>
      <c r="H514" s="126"/>
      <c r="I514" s="109"/>
      <c r="J514" s="126"/>
      <c r="K514" s="109"/>
      <c r="L514" s="126"/>
      <c r="M514" s="109"/>
      <c r="N514" s="109"/>
      <c r="O514" s="109"/>
      <c r="P514" s="109"/>
      <c r="Q514" s="109"/>
      <c r="R514" s="126"/>
      <c r="S514" s="109" t="n">
        <f aca="false">C514+D514+E514+F514+G514</f>
        <v>0</v>
      </c>
    </row>
    <row r="515" customFormat="false" ht="12.75" hidden="false" customHeight="false" outlineLevel="0" collapsed="false">
      <c r="A515" s="138" t="s">
        <v>59</v>
      </c>
      <c r="B515" s="112" t="s">
        <v>53</v>
      </c>
      <c r="C515" s="109" t="n">
        <f aca="false">C513-C514</f>
        <v>0</v>
      </c>
      <c r="D515" s="109" t="n">
        <f aca="false">D513-D514</f>
        <v>0</v>
      </c>
      <c r="E515" s="126" t="n">
        <f aca="false">E513-E514</f>
        <v>0</v>
      </c>
      <c r="F515" s="109" t="n">
        <f aca="false">F513-F514</f>
        <v>0</v>
      </c>
      <c r="G515" s="109" t="n">
        <f aca="false">G513-G514</f>
        <v>0</v>
      </c>
      <c r="H515" s="126"/>
      <c r="I515" s="109"/>
      <c r="J515" s="126"/>
      <c r="K515" s="109"/>
      <c r="L515" s="126"/>
      <c r="M515" s="109"/>
      <c r="N515" s="109"/>
      <c r="O515" s="109"/>
      <c r="P515" s="109"/>
      <c r="Q515" s="109"/>
      <c r="R515" s="126"/>
      <c r="S515" s="109" t="n">
        <f aca="false">S513-S514</f>
        <v>0</v>
      </c>
    </row>
    <row r="516" customFormat="false" ht="13.5" hidden="false" customHeight="false" outlineLevel="0" collapsed="false">
      <c r="A516" s="142"/>
      <c r="B516" s="114" t="s">
        <v>9</v>
      </c>
      <c r="C516" s="117" t="n">
        <v>0</v>
      </c>
      <c r="D516" s="143" t="n">
        <v>0</v>
      </c>
      <c r="E516" s="143" t="n">
        <v>0</v>
      </c>
      <c r="F516" s="140" t="n">
        <v>0</v>
      </c>
      <c r="G516" s="143" t="n">
        <v>0</v>
      </c>
      <c r="H516" s="140"/>
      <c r="I516" s="117"/>
      <c r="J516" s="140"/>
      <c r="K516" s="117"/>
      <c r="L516" s="140"/>
      <c r="M516" s="117"/>
      <c r="N516" s="117"/>
      <c r="O516" s="117"/>
      <c r="P516" s="117"/>
      <c r="Q516" s="117"/>
      <c r="R516" s="140"/>
      <c r="S516" s="117" t="n">
        <v>0</v>
      </c>
    </row>
    <row r="517" customFormat="false" ht="12.75" hidden="false" customHeight="false" outlineLevel="0" collapsed="false">
      <c r="A517" s="144"/>
      <c r="B517" s="107" t="n">
        <v>2016</v>
      </c>
      <c r="C517" s="109" t="n">
        <v>9</v>
      </c>
      <c r="D517" s="109" t="n">
        <v>6</v>
      </c>
      <c r="E517" s="126" t="n">
        <v>14</v>
      </c>
      <c r="F517" s="109" t="n">
        <v>6</v>
      </c>
      <c r="G517" s="109" t="n">
        <v>8</v>
      </c>
      <c r="H517" s="126"/>
      <c r="I517" s="109"/>
      <c r="J517" s="126"/>
      <c r="K517" s="109"/>
      <c r="L517" s="126"/>
      <c r="M517" s="109"/>
      <c r="N517" s="109"/>
      <c r="O517" s="109"/>
      <c r="P517" s="109"/>
      <c r="Q517" s="109"/>
      <c r="R517" s="126"/>
      <c r="S517" s="109" t="n">
        <f aca="false">C517+D517+E517+F517+G517</f>
        <v>43</v>
      </c>
    </row>
    <row r="518" customFormat="false" ht="12.75" hidden="false" customHeight="false" outlineLevel="0" collapsed="false">
      <c r="A518" s="175" t="s">
        <v>60</v>
      </c>
      <c r="B518" s="107" t="n">
        <v>2015</v>
      </c>
      <c r="C518" s="109" t="n">
        <v>10</v>
      </c>
      <c r="D518" s="109" t="n">
        <v>13</v>
      </c>
      <c r="E518" s="126" t="n">
        <v>12</v>
      </c>
      <c r="F518" s="109" t="n">
        <v>4</v>
      </c>
      <c r="G518" s="109" t="n">
        <v>8</v>
      </c>
      <c r="H518" s="126"/>
      <c r="I518" s="109"/>
      <c r="J518" s="126"/>
      <c r="K518" s="109"/>
      <c r="L518" s="126"/>
      <c r="M518" s="109"/>
      <c r="N518" s="109"/>
      <c r="O518" s="109"/>
      <c r="P518" s="109"/>
      <c r="Q518" s="109"/>
      <c r="R518" s="126"/>
      <c r="S518" s="109" t="n">
        <f aca="false">C518+D518+E518+F518+G518</f>
        <v>47</v>
      </c>
    </row>
    <row r="519" customFormat="false" ht="12.75" hidden="false" customHeight="false" outlineLevel="0" collapsed="false">
      <c r="A519" s="144"/>
      <c r="B519" s="112" t="s">
        <v>53</v>
      </c>
      <c r="C519" s="109" t="n">
        <f aca="false">C517-C518</f>
        <v>-1</v>
      </c>
      <c r="D519" s="109" t="n">
        <f aca="false">D517-D518</f>
        <v>-7</v>
      </c>
      <c r="E519" s="126" t="n">
        <f aca="false">E517-E518</f>
        <v>2</v>
      </c>
      <c r="F519" s="109" t="n">
        <f aca="false">F517-F518</f>
        <v>2</v>
      </c>
      <c r="G519" s="109" t="n">
        <f aca="false">G517-G518</f>
        <v>0</v>
      </c>
      <c r="H519" s="126"/>
      <c r="I519" s="109"/>
      <c r="J519" s="126"/>
      <c r="K519" s="109"/>
      <c r="L519" s="126"/>
      <c r="M519" s="109"/>
      <c r="N519" s="109"/>
      <c r="O519" s="109"/>
      <c r="P519" s="109"/>
      <c r="Q519" s="109"/>
      <c r="R519" s="126"/>
      <c r="S519" s="109" t="n">
        <f aca="false">S517-S518</f>
        <v>-4</v>
      </c>
    </row>
    <row r="520" customFormat="false" ht="13.5" hidden="false" customHeight="false" outlineLevel="0" collapsed="false">
      <c r="A520" s="142"/>
      <c r="B520" s="114" t="s">
        <v>9</v>
      </c>
      <c r="C520" s="117" t="n">
        <f aca="false">C519/C518</f>
        <v>-0.1</v>
      </c>
      <c r="D520" s="143" t="n">
        <f aca="false">D519/D518</f>
        <v>-0.538461538461538</v>
      </c>
      <c r="E520" s="143" t="n">
        <f aca="false">E519/E518</f>
        <v>0.166666666666667</v>
      </c>
      <c r="F520" s="140" t="n">
        <f aca="false">F519/F518</f>
        <v>0.5</v>
      </c>
      <c r="G520" s="143" t="n">
        <f aca="false">G519/G518</f>
        <v>0</v>
      </c>
      <c r="H520" s="140"/>
      <c r="I520" s="117"/>
      <c r="J520" s="140"/>
      <c r="K520" s="117"/>
      <c r="L520" s="140"/>
      <c r="M520" s="117"/>
      <c r="N520" s="117"/>
      <c r="O520" s="117"/>
      <c r="P520" s="117"/>
      <c r="Q520" s="117"/>
      <c r="R520" s="140"/>
      <c r="S520" s="117" t="n">
        <f aca="false">S519/S518</f>
        <v>-0.0851063829787234</v>
      </c>
    </row>
    <row r="521" customFormat="false" ht="12.75" hidden="false" customHeight="false" outlineLevel="0" collapsed="false">
      <c r="A521" s="144"/>
      <c r="B521" s="107" t="n">
        <v>2016</v>
      </c>
      <c r="C521" s="109" t="n">
        <v>13</v>
      </c>
      <c r="D521" s="109" t="n">
        <v>19</v>
      </c>
      <c r="E521" s="126" t="n">
        <v>32</v>
      </c>
      <c r="F521" s="109" t="n">
        <v>14</v>
      </c>
      <c r="G521" s="109" t="n">
        <v>9</v>
      </c>
      <c r="H521" s="126"/>
      <c r="I521" s="109"/>
      <c r="J521" s="126"/>
      <c r="K521" s="109"/>
      <c r="L521" s="126"/>
      <c r="M521" s="109"/>
      <c r="N521" s="109"/>
      <c r="O521" s="109"/>
      <c r="P521" s="109"/>
      <c r="Q521" s="109"/>
      <c r="R521" s="126"/>
      <c r="S521" s="109" t="n">
        <f aca="false">C521+D521+E521+F521+G521</f>
        <v>87</v>
      </c>
    </row>
    <row r="522" customFormat="false" ht="12.75" hidden="false" customHeight="false" outlineLevel="0" collapsed="false">
      <c r="A522" s="175" t="s">
        <v>61</v>
      </c>
      <c r="B522" s="107" t="n">
        <v>2015</v>
      </c>
      <c r="C522" s="109" t="n">
        <v>17</v>
      </c>
      <c r="D522" s="109" t="n">
        <v>29</v>
      </c>
      <c r="E522" s="126" t="n">
        <v>20</v>
      </c>
      <c r="F522" s="109" t="n">
        <v>10</v>
      </c>
      <c r="G522" s="109" t="n">
        <v>12</v>
      </c>
      <c r="H522" s="126"/>
      <c r="I522" s="109"/>
      <c r="J522" s="126"/>
      <c r="K522" s="109"/>
      <c r="L522" s="126"/>
      <c r="M522" s="109"/>
      <c r="N522" s="109"/>
      <c r="O522" s="109"/>
      <c r="P522" s="109"/>
      <c r="Q522" s="109"/>
      <c r="R522" s="126"/>
      <c r="S522" s="109" t="n">
        <f aca="false">C522+D522+E522+F522+G522</f>
        <v>88</v>
      </c>
    </row>
    <row r="523" customFormat="false" ht="12.75" hidden="false" customHeight="false" outlineLevel="0" collapsed="false">
      <c r="A523" s="175" t="s">
        <v>62</v>
      </c>
      <c r="B523" s="112" t="s">
        <v>53</v>
      </c>
      <c r="C523" s="109" t="n">
        <f aca="false">C521-C522</f>
        <v>-4</v>
      </c>
      <c r="D523" s="109" t="n">
        <f aca="false">D521-D522</f>
        <v>-10</v>
      </c>
      <c r="E523" s="109" t="n">
        <f aca="false">E521-E522</f>
        <v>12</v>
      </c>
      <c r="F523" s="109" t="n">
        <f aca="false">F521-F522</f>
        <v>4</v>
      </c>
      <c r="G523" s="109" t="n">
        <f aca="false">G521-G522</f>
        <v>-3</v>
      </c>
      <c r="H523" s="126"/>
      <c r="I523" s="109"/>
      <c r="J523" s="126"/>
      <c r="K523" s="109"/>
      <c r="L523" s="126"/>
      <c r="M523" s="109"/>
      <c r="N523" s="109"/>
      <c r="O523" s="109"/>
      <c r="P523" s="109"/>
      <c r="Q523" s="109"/>
      <c r="R523" s="126"/>
      <c r="S523" s="109" t="n">
        <f aca="false">S521-S522</f>
        <v>-1</v>
      </c>
    </row>
    <row r="524" customFormat="false" ht="13.5" hidden="false" customHeight="false" outlineLevel="0" collapsed="false">
      <c r="A524" s="142"/>
      <c r="B524" s="114" t="s">
        <v>9</v>
      </c>
      <c r="C524" s="117" t="n">
        <f aca="false">C523/C522</f>
        <v>-0.235294117647059</v>
      </c>
      <c r="D524" s="117" t="n">
        <f aca="false">D523/D522</f>
        <v>-0.344827586206897</v>
      </c>
      <c r="E524" s="117" t="n">
        <f aca="false">E523/E522</f>
        <v>0.6</v>
      </c>
      <c r="F524" s="140" t="n">
        <f aca="false">F523/F522</f>
        <v>0.4</v>
      </c>
      <c r="G524" s="117" t="n">
        <f aca="false">G523/G522</f>
        <v>-0.25</v>
      </c>
      <c r="H524" s="140"/>
      <c r="I524" s="117"/>
      <c r="J524" s="140"/>
      <c r="K524" s="117"/>
      <c r="L524" s="140"/>
      <c r="M524" s="117"/>
      <c r="N524" s="117"/>
      <c r="O524" s="117"/>
      <c r="P524" s="117"/>
      <c r="Q524" s="117"/>
      <c r="R524" s="140"/>
      <c r="S524" s="117" t="n">
        <f aca="false">S523/S522</f>
        <v>-0.0113636363636364</v>
      </c>
    </row>
    <row r="525" customFormat="false" ht="12.75" hidden="false" customHeight="false" outlineLevel="0" collapsed="false">
      <c r="A525" s="144"/>
      <c r="B525" s="107" t="n">
        <v>2016</v>
      </c>
      <c r="C525" s="109" t="n">
        <v>41</v>
      </c>
      <c r="D525" s="109" t="n">
        <v>77</v>
      </c>
      <c r="E525" s="126" t="n">
        <v>68</v>
      </c>
      <c r="F525" s="109" t="n">
        <v>42</v>
      </c>
      <c r="G525" s="109" t="n">
        <v>23</v>
      </c>
      <c r="H525" s="126"/>
      <c r="I525" s="109"/>
      <c r="J525" s="126"/>
      <c r="K525" s="109"/>
      <c r="L525" s="126"/>
      <c r="M525" s="109"/>
      <c r="N525" s="109"/>
      <c r="O525" s="109"/>
      <c r="P525" s="109"/>
      <c r="Q525" s="109"/>
      <c r="R525" s="126"/>
      <c r="S525" s="109" t="n">
        <f aca="false">C525+D525+E525+F525+G525</f>
        <v>251</v>
      </c>
    </row>
    <row r="526" customFormat="false" ht="12.75" hidden="false" customHeight="false" outlineLevel="0" collapsed="false">
      <c r="A526" s="175" t="s">
        <v>63</v>
      </c>
      <c r="B526" s="107" t="n">
        <v>2015</v>
      </c>
      <c r="C526" s="109" t="n">
        <v>46</v>
      </c>
      <c r="D526" s="109" t="n">
        <v>90</v>
      </c>
      <c r="E526" s="126" t="n">
        <v>45</v>
      </c>
      <c r="F526" s="109" t="n">
        <v>49</v>
      </c>
      <c r="G526" s="109" t="n">
        <v>61</v>
      </c>
      <c r="H526" s="126"/>
      <c r="I526" s="109"/>
      <c r="J526" s="126"/>
      <c r="K526" s="109"/>
      <c r="L526" s="126"/>
      <c r="M526" s="109"/>
      <c r="N526" s="109"/>
      <c r="O526" s="109"/>
      <c r="P526" s="109"/>
      <c r="Q526" s="109"/>
      <c r="R526" s="126"/>
      <c r="S526" s="109" t="n">
        <f aca="false">C526+D526+E526+F526+G526</f>
        <v>291</v>
      </c>
    </row>
    <row r="527" customFormat="false" ht="12.75" hidden="false" customHeight="false" outlineLevel="0" collapsed="false">
      <c r="A527" s="144"/>
      <c r="B527" s="112" t="s">
        <v>53</v>
      </c>
      <c r="C527" s="109" t="n">
        <f aca="false">C525-C526</f>
        <v>-5</v>
      </c>
      <c r="D527" s="109" t="n">
        <f aca="false">D525-D526</f>
        <v>-13</v>
      </c>
      <c r="E527" s="126" t="n">
        <f aca="false">E525-E526</f>
        <v>23</v>
      </c>
      <c r="F527" s="109" t="n">
        <f aca="false">F525-F526</f>
        <v>-7</v>
      </c>
      <c r="G527" s="109" t="n">
        <f aca="false">G525-G526</f>
        <v>-38</v>
      </c>
      <c r="H527" s="126"/>
      <c r="I527" s="109"/>
      <c r="J527" s="126"/>
      <c r="K527" s="109"/>
      <c r="L527" s="126"/>
      <c r="M527" s="109"/>
      <c r="N527" s="109"/>
      <c r="O527" s="109"/>
      <c r="P527" s="109"/>
      <c r="Q527" s="109"/>
      <c r="R527" s="126"/>
      <c r="S527" s="109" t="n">
        <f aca="false">S525-S526</f>
        <v>-40</v>
      </c>
    </row>
    <row r="528" customFormat="false" ht="13.5" hidden="false" customHeight="false" outlineLevel="0" collapsed="false">
      <c r="A528" s="142"/>
      <c r="B528" s="114" t="s">
        <v>9</v>
      </c>
      <c r="C528" s="117" t="n">
        <f aca="false">C527/C526</f>
        <v>-0.108695652173913</v>
      </c>
      <c r="D528" s="117" t="n">
        <f aca="false">D527/D526</f>
        <v>-0.144444444444444</v>
      </c>
      <c r="E528" s="140" t="n">
        <f aca="false">E527/E526</f>
        <v>0.511111111111111</v>
      </c>
      <c r="F528" s="117" t="n">
        <f aca="false">F527/F526</f>
        <v>-0.142857142857143</v>
      </c>
      <c r="G528" s="117" t="n">
        <f aca="false">G527/G526</f>
        <v>-0.622950819672131</v>
      </c>
      <c r="H528" s="140"/>
      <c r="I528" s="117"/>
      <c r="J528" s="140"/>
      <c r="K528" s="117"/>
      <c r="L528" s="140"/>
      <c r="M528" s="117"/>
      <c r="N528" s="117"/>
      <c r="O528" s="117"/>
      <c r="P528" s="117"/>
      <c r="Q528" s="117"/>
      <c r="R528" s="140"/>
      <c r="S528" s="117" t="n">
        <f aca="false">S527/S526</f>
        <v>-0.13745704467354</v>
      </c>
    </row>
    <row r="529" customFormat="false" ht="12.75" hidden="false" customHeight="false" outlineLevel="0" collapsed="false">
      <c r="A529" s="144"/>
      <c r="B529" s="107" t="n">
        <v>2016</v>
      </c>
      <c r="C529" s="109" t="n">
        <v>84</v>
      </c>
      <c r="D529" s="109" t="n">
        <v>109</v>
      </c>
      <c r="E529" s="126" t="n">
        <v>106</v>
      </c>
      <c r="F529" s="109" t="n">
        <v>70</v>
      </c>
      <c r="G529" s="109" t="n">
        <v>98</v>
      </c>
      <c r="H529" s="126"/>
      <c r="I529" s="109"/>
      <c r="J529" s="126"/>
      <c r="K529" s="109"/>
      <c r="L529" s="126"/>
      <c r="M529" s="109"/>
      <c r="N529" s="109"/>
      <c r="O529" s="109"/>
      <c r="P529" s="109"/>
      <c r="Q529" s="109"/>
      <c r="R529" s="126"/>
      <c r="S529" s="109" t="n">
        <f aca="false">C529+D529+E529+F529+G529</f>
        <v>467</v>
      </c>
    </row>
    <row r="530" customFormat="false" ht="12.75" hidden="false" customHeight="false" outlineLevel="0" collapsed="false">
      <c r="A530" s="175" t="s">
        <v>64</v>
      </c>
      <c r="B530" s="107" t="n">
        <v>2015</v>
      </c>
      <c r="C530" s="109" t="n">
        <v>58</v>
      </c>
      <c r="D530" s="109" t="n">
        <v>126</v>
      </c>
      <c r="E530" s="126" t="n">
        <v>119</v>
      </c>
      <c r="F530" s="109" t="n">
        <v>83</v>
      </c>
      <c r="G530" s="109" t="n">
        <v>96</v>
      </c>
      <c r="H530" s="126"/>
      <c r="I530" s="109"/>
      <c r="J530" s="126"/>
      <c r="K530" s="109"/>
      <c r="L530" s="126"/>
      <c r="M530" s="109"/>
      <c r="N530" s="109"/>
      <c r="O530" s="109"/>
      <c r="P530" s="109"/>
      <c r="Q530" s="109"/>
      <c r="R530" s="126"/>
      <c r="S530" s="109" t="n">
        <f aca="false">C530+D530+E530+F530+G530</f>
        <v>482</v>
      </c>
    </row>
    <row r="531" customFormat="false" ht="12.75" hidden="false" customHeight="false" outlineLevel="0" collapsed="false">
      <c r="A531" s="175" t="s">
        <v>65</v>
      </c>
      <c r="B531" s="112" t="s">
        <v>53</v>
      </c>
      <c r="C531" s="109" t="n">
        <f aca="false">C529-C530</f>
        <v>26</v>
      </c>
      <c r="D531" s="109" t="n">
        <f aca="false">D529-D530</f>
        <v>-17</v>
      </c>
      <c r="E531" s="126" t="n">
        <f aca="false">E529-E530</f>
        <v>-13</v>
      </c>
      <c r="F531" s="109" t="n">
        <f aca="false">F529-F530</f>
        <v>-13</v>
      </c>
      <c r="G531" s="109" t="n">
        <f aca="false">G529-G530</f>
        <v>2</v>
      </c>
      <c r="H531" s="126"/>
      <c r="I531" s="109"/>
      <c r="J531" s="126"/>
      <c r="K531" s="109"/>
      <c r="L531" s="126"/>
      <c r="M531" s="109"/>
      <c r="N531" s="109"/>
      <c r="O531" s="109"/>
      <c r="P531" s="109"/>
      <c r="Q531" s="109"/>
      <c r="R531" s="126"/>
      <c r="S531" s="109" t="n">
        <f aca="false">S529-S530</f>
        <v>-15</v>
      </c>
    </row>
    <row r="532" customFormat="false" ht="13.5" hidden="false" customHeight="false" outlineLevel="0" collapsed="false">
      <c r="A532" s="142"/>
      <c r="B532" s="114" t="s">
        <v>9</v>
      </c>
      <c r="C532" s="117" t="n">
        <f aca="false">C531/C530</f>
        <v>0.448275862068966</v>
      </c>
      <c r="D532" s="117" t="n">
        <f aca="false">D531/D530</f>
        <v>-0.134920634920635</v>
      </c>
      <c r="E532" s="140" t="n">
        <f aca="false">E531/E530</f>
        <v>-0.109243697478992</v>
      </c>
      <c r="F532" s="117" t="n">
        <f aca="false">F531/F530</f>
        <v>-0.156626506024096</v>
      </c>
      <c r="G532" s="117" t="n">
        <f aca="false">G531/G530</f>
        <v>0.0208333333333333</v>
      </c>
      <c r="H532" s="140"/>
      <c r="I532" s="117"/>
      <c r="J532" s="140"/>
      <c r="K532" s="117"/>
      <c r="L532" s="140"/>
      <c r="M532" s="117"/>
      <c r="N532" s="117"/>
      <c r="O532" s="117"/>
      <c r="P532" s="117"/>
      <c r="Q532" s="117"/>
      <c r="R532" s="140"/>
      <c r="S532" s="117" t="n">
        <f aca="false">S531/S530</f>
        <v>-0.0311203319502075</v>
      </c>
    </row>
    <row r="533" customFormat="false" ht="12.75" hidden="false" customHeight="false" outlineLevel="0" collapsed="false">
      <c r="A533" s="144"/>
      <c r="B533" s="107" t="n">
        <v>2016</v>
      </c>
      <c r="C533" s="109" t="n">
        <v>11</v>
      </c>
      <c r="D533" s="109" t="n">
        <v>35</v>
      </c>
      <c r="E533" s="126" t="n">
        <v>7</v>
      </c>
      <c r="F533" s="109" t="n">
        <v>19</v>
      </c>
      <c r="G533" s="109" t="n">
        <v>6</v>
      </c>
      <c r="H533" s="126"/>
      <c r="I533" s="109"/>
      <c r="J533" s="126"/>
      <c r="K533" s="109"/>
      <c r="L533" s="126"/>
      <c r="M533" s="109"/>
      <c r="N533" s="109"/>
      <c r="O533" s="109"/>
      <c r="P533" s="109"/>
      <c r="Q533" s="109"/>
      <c r="R533" s="126"/>
      <c r="S533" s="109" t="n">
        <f aca="false">C533+D533+E533+F533+G533</f>
        <v>78</v>
      </c>
    </row>
    <row r="534" customFormat="false" ht="12.75" hidden="false" customHeight="false" outlineLevel="0" collapsed="false">
      <c r="A534" s="175" t="s">
        <v>66</v>
      </c>
      <c r="B534" s="107" t="n">
        <v>2015</v>
      </c>
      <c r="C534" s="109" t="n">
        <v>12</v>
      </c>
      <c r="D534" s="109" t="n">
        <v>31</v>
      </c>
      <c r="E534" s="126" t="n">
        <v>21</v>
      </c>
      <c r="F534" s="109" t="n">
        <v>22</v>
      </c>
      <c r="G534" s="109" t="n">
        <v>10</v>
      </c>
      <c r="H534" s="126"/>
      <c r="I534" s="109"/>
      <c r="J534" s="126"/>
      <c r="K534" s="109"/>
      <c r="L534" s="126"/>
      <c r="M534" s="109"/>
      <c r="N534" s="109"/>
      <c r="O534" s="109"/>
      <c r="P534" s="109"/>
      <c r="Q534" s="109"/>
      <c r="R534" s="126"/>
      <c r="S534" s="109" t="n">
        <f aca="false">C534+D534+E534+F534+G534</f>
        <v>96</v>
      </c>
    </row>
    <row r="535" customFormat="false" ht="12.75" hidden="false" customHeight="false" outlineLevel="0" collapsed="false">
      <c r="A535" s="175" t="s">
        <v>67</v>
      </c>
      <c r="B535" s="112" t="s">
        <v>53</v>
      </c>
      <c r="C535" s="109" t="n">
        <f aca="false">C533-C534</f>
        <v>-1</v>
      </c>
      <c r="D535" s="109" t="n">
        <f aca="false">D533-D534</f>
        <v>4</v>
      </c>
      <c r="E535" s="126" t="n">
        <f aca="false">E533-E534</f>
        <v>-14</v>
      </c>
      <c r="F535" s="109" t="n">
        <f aca="false">F533-F534</f>
        <v>-3</v>
      </c>
      <c r="G535" s="109" t="n">
        <f aca="false">G533-G534</f>
        <v>-4</v>
      </c>
      <c r="H535" s="126"/>
      <c r="I535" s="109"/>
      <c r="J535" s="126"/>
      <c r="K535" s="109"/>
      <c r="L535" s="126"/>
      <c r="M535" s="109"/>
      <c r="N535" s="109"/>
      <c r="O535" s="109"/>
      <c r="P535" s="109"/>
      <c r="Q535" s="109"/>
      <c r="R535" s="126"/>
      <c r="S535" s="109" t="n">
        <f aca="false">S533-S534</f>
        <v>-18</v>
      </c>
    </row>
    <row r="536" customFormat="false" ht="13.5" hidden="false" customHeight="false" outlineLevel="0" collapsed="false">
      <c r="A536" s="142"/>
      <c r="B536" s="114" t="s">
        <v>9</v>
      </c>
      <c r="C536" s="117" t="n">
        <f aca="false">C535/C534</f>
        <v>-0.0833333333333333</v>
      </c>
      <c r="D536" s="117" t="n">
        <f aca="false">D535/D534</f>
        <v>0.129032258064516</v>
      </c>
      <c r="E536" s="140" t="n">
        <f aca="false">E535/E534</f>
        <v>-0.666666666666667</v>
      </c>
      <c r="F536" s="117" t="n">
        <f aca="false">F535/F534</f>
        <v>-0.136363636363636</v>
      </c>
      <c r="G536" s="143" t="n">
        <f aca="false">G535/G534</f>
        <v>-0.4</v>
      </c>
      <c r="H536" s="140"/>
      <c r="I536" s="117"/>
      <c r="J536" s="140"/>
      <c r="K536" s="117"/>
      <c r="L536" s="140"/>
      <c r="M536" s="117"/>
      <c r="N536" s="117"/>
      <c r="O536" s="117"/>
      <c r="P536" s="117"/>
      <c r="Q536" s="117"/>
      <c r="R536" s="140"/>
      <c r="S536" s="117" t="n">
        <f aca="false">S535/S534</f>
        <v>-0.1875</v>
      </c>
    </row>
  </sheetData>
  <mergeCells count="3">
    <mergeCell ref="A1:S1"/>
    <mergeCell ref="A2:S2"/>
    <mergeCell ref="A3:S3"/>
  </mergeCells>
  <printOptions headings="false" gridLines="false" gridLinesSet="true" horizontalCentered="false" verticalCentered="false"/>
  <pageMargins left="0.7" right="0.7" top="0.75" bottom="0.75" header="0.511811023622047" footer="0.511811023622047"/>
  <pageSetup paperSize="5" scale="85" fitToWidth="1" fitToHeight="1" pageOrder="downThenOver" orientation="landscape" blackAndWhite="false" draft="false" cellComments="none" horizontalDpi="300" verticalDpi="300" copies="1"/>
  <headerFooter differentFirst="false" differentOddEven="false">
    <oddHeader/>
    <oddFooter/>
  </headerFooter>
  <rowBreaks count="13" manualBreakCount="13">
    <brk id="42" man="true" max="16383" min="0"/>
    <brk id="80" man="true" max="16383" min="0"/>
    <brk id="118" man="true" max="16383" min="0"/>
    <brk id="156" man="true" max="16383" min="0"/>
    <brk id="194" man="true" max="16383" min="0"/>
    <brk id="232" man="true" max="16383" min="0"/>
    <brk id="270" man="true" max="16383" min="0"/>
    <brk id="308" man="true" max="16383" min="0"/>
    <brk id="346" man="true" max="16383" min="0"/>
    <brk id="384" man="true" max="16383" min="0"/>
    <brk id="422" man="true" max="16383" min="0"/>
    <brk id="460" man="true" max="16383" min="0"/>
    <brk id="498" man="true" max="16383" min="0"/>
  </rowBreaks>
  <colBreaks count="1" manualBreakCount="1">
    <brk id="19"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62"/>
  <sheetViews>
    <sheetView showFormulas="false" showGridLines="true" showRowColHeaders="true" showZeros="true" rightToLeft="false" tabSelected="false" showOutlineSymbols="true" defaultGridColor="true" view="pageBreakPreview" topLeftCell="A1" colorId="64" zoomScale="65" zoomScaleNormal="100" zoomScalePageLayoutView="65" workbookViewId="0">
      <selection pane="topLeft" activeCell="Q11" activeCellId="0" sqref="Q11"/>
    </sheetView>
  </sheetViews>
  <sheetFormatPr defaultColWidth="8.6796875" defaultRowHeight="12.75" zeroHeight="false" outlineLevelRow="0" outlineLevelCol="0"/>
  <sheetData>
    <row r="1" customFormat="false" ht="12.75" hidden="false" customHeight="false" outlineLevel="0" collapsed="false">
      <c r="A1" s="98" t="s">
        <v>34</v>
      </c>
      <c r="B1" s="98"/>
      <c r="C1" s="98"/>
      <c r="D1" s="98"/>
      <c r="E1" s="98"/>
      <c r="F1" s="98"/>
      <c r="G1" s="98"/>
      <c r="H1" s="98"/>
      <c r="I1" s="98"/>
      <c r="J1" s="98"/>
      <c r="K1" s="98"/>
      <c r="L1" s="98"/>
      <c r="M1" s="98"/>
      <c r="N1" s="98"/>
      <c r="O1" s="98"/>
    </row>
    <row r="2" customFormat="false" ht="12.75" hidden="false" customHeight="false" outlineLevel="0" collapsed="false">
      <c r="A2" s="98" t="s">
        <v>194</v>
      </c>
      <c r="B2" s="98"/>
      <c r="C2" s="98"/>
      <c r="D2" s="98"/>
      <c r="E2" s="98"/>
      <c r="F2" s="98"/>
      <c r="G2" s="98"/>
      <c r="H2" s="98"/>
      <c r="I2" s="98"/>
      <c r="J2" s="98"/>
      <c r="K2" s="98"/>
      <c r="L2" s="98"/>
      <c r="M2" s="98"/>
      <c r="N2" s="98"/>
      <c r="O2" s="98"/>
    </row>
    <row r="3" customFormat="false" ht="12.75" hidden="false" customHeight="false" outlineLevel="0" collapsed="false">
      <c r="A3" s="98" t="s">
        <v>195</v>
      </c>
      <c r="B3" s="98"/>
      <c r="C3" s="98"/>
      <c r="D3" s="98"/>
      <c r="E3" s="98"/>
      <c r="F3" s="98"/>
      <c r="G3" s="98"/>
      <c r="H3" s="98"/>
      <c r="I3" s="98"/>
      <c r="J3" s="98"/>
      <c r="K3" s="98"/>
      <c r="L3" s="98"/>
      <c r="M3" s="98"/>
      <c r="N3" s="98"/>
      <c r="O3" s="98"/>
    </row>
    <row r="4" customFormat="false" ht="12.75" hidden="false" customHeight="false" outlineLevel="0" collapsed="false">
      <c r="A4" s="98" t="s">
        <v>3</v>
      </c>
      <c r="B4" s="98"/>
    </row>
    <row r="5" customFormat="false" ht="13.5" hidden="false" customHeight="false" outlineLevel="0" collapsed="false">
      <c r="A5" s="0" t="s">
        <v>2</v>
      </c>
    </row>
    <row r="6" customFormat="false" ht="13.5" hidden="false" customHeight="false" outlineLevel="0" collapsed="false">
      <c r="A6" s="0" t="s">
        <v>2</v>
      </c>
      <c r="B6" s="192" t="s">
        <v>196</v>
      </c>
      <c r="C6" s="192" t="s">
        <v>197</v>
      </c>
      <c r="D6" s="192" t="s">
        <v>198</v>
      </c>
      <c r="E6" s="192" t="s">
        <v>199</v>
      </c>
      <c r="F6" s="192" t="s">
        <v>200</v>
      </c>
      <c r="G6" s="192" t="s">
        <v>201</v>
      </c>
      <c r="H6" s="192" t="s">
        <v>202</v>
      </c>
      <c r="I6" s="192" t="s">
        <v>203</v>
      </c>
      <c r="J6" s="192" t="s">
        <v>204</v>
      </c>
      <c r="K6" s="192" t="s">
        <v>205</v>
      </c>
      <c r="L6" s="192" t="s">
        <v>206</v>
      </c>
      <c r="M6" s="192" t="s">
        <v>207</v>
      </c>
      <c r="N6" s="192" t="s">
        <v>208</v>
      </c>
      <c r="O6" s="192" t="s">
        <v>52</v>
      </c>
    </row>
    <row r="7" customFormat="false" ht="12.75" hidden="false" customHeight="false" outlineLevel="0" collapsed="false">
      <c r="A7" s="193"/>
      <c r="B7" s="194" t="n">
        <v>2016</v>
      </c>
      <c r="C7" s="194" t="n">
        <f aca="false">SUM(C47+C87+C127+C167+C207+C247+C287+C327+C367+C407+C447+C487+C527)</f>
        <v>4003</v>
      </c>
      <c r="D7" s="194" t="n">
        <f aca="false">SUM(D47+D87+D127+D167+D207+D247+D287+D327+D367+D407+D447+D487+D527)</f>
        <v>3835</v>
      </c>
      <c r="E7" s="194" t="n">
        <f aca="false">SUM(E47+E87+E127+E167+E207+E247+E287+E327+E367+E407+E447+E487+E527)</f>
        <v>3717</v>
      </c>
      <c r="F7" s="194" t="n">
        <f aca="false">SUM(F47+F87+F127+F167+F207+F247+F287+F327+F367+F407+F447+F487+F527)</f>
        <v>3432</v>
      </c>
      <c r="G7" s="194" t="n">
        <f aca="false">SUM(G47+G87+G127+G167+G207+G247+G287+G327+G367+G407+G447+G487+G527)</f>
        <v>3558</v>
      </c>
      <c r="H7" s="194" t="n">
        <f aca="false">SUM(H47+H87+H127+H167+H207+H247+H287+H327+H367+H407+H447+H487+H527)</f>
        <v>3241</v>
      </c>
      <c r="I7" s="194" t="n">
        <f aca="false">SUM(I47+I87+I127+I167+I207+I247+I287+I327+I367+I407+I447+I487+I527)</f>
        <v>3431</v>
      </c>
      <c r="J7" s="194" t="n">
        <f aca="false">SUM(J47+J87+J127+J167+J207+J247+J287+J327+J367+J407+J447+J487+J527)</f>
        <v>3579</v>
      </c>
      <c r="K7" s="194" t="n">
        <f aca="false">SUM(K47+K87+K127+K167+K207+K247+K287+K327+K367+K407+K447+K487+K527)</f>
        <v>3476</v>
      </c>
      <c r="L7" s="194" t="n">
        <f aca="false">SUM(L47+L87+L127+L167+L207+L247+L287+L327+L367+L407+L447+L487+L527)</f>
        <v>3513</v>
      </c>
      <c r="M7" s="194"/>
      <c r="N7" s="194"/>
      <c r="O7" s="193" t="n">
        <f aca="false">SUM(C7:N7)</f>
        <v>35785</v>
      </c>
    </row>
    <row r="8" customFormat="false" ht="12.75" hidden="false" customHeight="false" outlineLevel="0" collapsed="false">
      <c r="A8" s="195" t="s">
        <v>52</v>
      </c>
      <c r="B8" s="196" t="n">
        <v>2015</v>
      </c>
      <c r="C8" s="196" t="n">
        <f aca="false">SUM(C12+C16+C24+C28+C32+C36+C40)</f>
        <v>4527</v>
      </c>
      <c r="D8" s="196" t="n">
        <f aca="false">SUM(D12+D16+D20+D24+D28+D32+D36+D40)</f>
        <v>3807</v>
      </c>
      <c r="E8" s="196" t="n">
        <f aca="false">SUM(E12+E16+E20+E24+E28+E32+E36+E40)</f>
        <v>3896</v>
      </c>
      <c r="F8" s="196" t="n">
        <f aca="false">SUM(F12+F16+F20+F24+F28+F32+F36+F40)</f>
        <v>3622</v>
      </c>
      <c r="G8" s="196" t="n">
        <f aca="false">SUM(G12+G16+G20+G24+G28+G32+G36+G40)</f>
        <v>3822</v>
      </c>
      <c r="H8" s="196" t="n">
        <f aca="false">SUM(H12+H16+H20+H24+H28+H32+H36+H40)</f>
        <v>3757</v>
      </c>
      <c r="I8" s="196" t="n">
        <f aca="false">SUM(I12+I16+I20+I24+I28+I32+I36+I40)</f>
        <v>3829</v>
      </c>
      <c r="J8" s="196" t="n">
        <f aca="false">SUM(J12+J16+J20+J24+J28+J32+J36+J40)</f>
        <v>3778</v>
      </c>
      <c r="K8" s="196" t="n">
        <f aca="false">SUM(K12+K16+K20+K24+K28+K32+K36+K40)</f>
        <v>3649</v>
      </c>
      <c r="L8" s="196" t="n">
        <f aca="false">SUM(L12+L16+L20+L24+L28+L32+L36+L40)</f>
        <v>4032</v>
      </c>
      <c r="M8" s="196"/>
      <c r="N8" s="196"/>
      <c r="O8" s="196" t="n">
        <f aca="false">SUM(C8:N8)</f>
        <v>38719</v>
      </c>
    </row>
    <row r="9" customFormat="false" ht="12.75" hidden="false" customHeight="false" outlineLevel="0" collapsed="false">
      <c r="A9" s="195" t="s">
        <v>209</v>
      </c>
      <c r="B9" s="197" t="s">
        <v>210</v>
      </c>
      <c r="C9" s="198" t="n">
        <f aca="false">SUM(C7-C8)</f>
        <v>-524</v>
      </c>
      <c r="D9" s="198" t="n">
        <f aca="false">SUM(D7-D8)</f>
        <v>28</v>
      </c>
      <c r="E9" s="198" t="n">
        <f aca="false">SUM(E7-E8)</f>
        <v>-179</v>
      </c>
      <c r="F9" s="198" t="n">
        <f aca="false">SUM(F7-F8)</f>
        <v>-190</v>
      </c>
      <c r="G9" s="198" t="n">
        <f aca="false">SUM(G7-G8)</f>
        <v>-264</v>
      </c>
      <c r="H9" s="198" t="n">
        <f aca="false">SUM(H7-H8)</f>
        <v>-516</v>
      </c>
      <c r="I9" s="196" t="n">
        <f aca="false">I7-I8</f>
        <v>-398</v>
      </c>
      <c r="J9" s="196" t="n">
        <f aca="false">J7-J8</f>
        <v>-199</v>
      </c>
      <c r="K9" s="196" t="n">
        <f aca="false">K7-K8</f>
        <v>-173</v>
      </c>
      <c r="L9" s="196" t="n">
        <f aca="false">L7-L8</f>
        <v>-519</v>
      </c>
      <c r="M9" s="198"/>
      <c r="N9" s="198"/>
      <c r="O9" s="198" t="n">
        <f aca="false">SUM(O7-O8)</f>
        <v>-2934</v>
      </c>
    </row>
    <row r="10" customFormat="false" ht="13.5" hidden="false" customHeight="false" outlineLevel="0" collapsed="false">
      <c r="A10" s="199"/>
      <c r="B10" s="200" t="s">
        <v>9</v>
      </c>
      <c r="C10" s="201" t="n">
        <f aca="false">C9/C8</f>
        <v>-0.11574994477579</v>
      </c>
      <c r="D10" s="201" t="n">
        <f aca="false">D9/D8</f>
        <v>0.00735487260309955</v>
      </c>
      <c r="E10" s="201" t="n">
        <f aca="false">E9/E8</f>
        <v>-0.0459445585215606</v>
      </c>
      <c r="F10" s="201" t="n">
        <f aca="false">F9/F8</f>
        <v>-0.0524572059635561</v>
      </c>
      <c r="G10" s="201" t="n">
        <f aca="false">G9/G8</f>
        <v>-0.0690737833594976</v>
      </c>
      <c r="H10" s="201" t="n">
        <f aca="false">H9/H8</f>
        <v>-0.137343625232899</v>
      </c>
      <c r="I10" s="201" t="n">
        <f aca="false">I9/I8</f>
        <v>-0.103943588404283</v>
      </c>
      <c r="J10" s="201" t="n">
        <f aca="false">J9/J8</f>
        <v>-0.0526733721545791</v>
      </c>
      <c r="K10" s="201" t="n">
        <f aca="false">K9/K8</f>
        <v>-0.0474102493833927</v>
      </c>
      <c r="L10" s="201" t="n">
        <f aca="false">L9/L8</f>
        <v>-0.128720238095238</v>
      </c>
      <c r="M10" s="201"/>
      <c r="N10" s="201"/>
      <c r="O10" s="201" t="n">
        <f aca="false">O9/O8</f>
        <v>-0.0757767504326042</v>
      </c>
    </row>
    <row r="11" customFormat="false" ht="12.75" hidden="false" customHeight="false" outlineLevel="0" collapsed="false">
      <c r="A11" s="198"/>
      <c r="B11" s="194" t="n">
        <v>2016</v>
      </c>
      <c r="C11" s="193" t="n">
        <f aca="false">SUM(C51,C91,C131,C171,C211,C251,C291,C331,C371,C411,C451,C491,C531)</f>
        <v>57</v>
      </c>
      <c r="D11" s="193" t="n">
        <f aca="false">SUM(D51,D91,D131,D171,D211,D251,D291,D331,D371,D411,D451,D491,D531)</f>
        <v>54</v>
      </c>
      <c r="E11" s="193" t="n">
        <f aca="false">SUM(E51,E91,E131,E171,E211,E251,E291,E331,E371,E411,E451,E491,E531)</f>
        <v>51</v>
      </c>
      <c r="F11" s="193" t="n">
        <f aca="false">SUM(F51,F91,F131,F171,F211,F251,F291,F331,F371,F411,F451,F491,F531)</f>
        <v>53</v>
      </c>
      <c r="G11" s="193" t="n">
        <f aca="false">SUM(G51,G91,G131,G171,G211,G251,G291,G331,G371,G411,G451,G491,G531)</f>
        <v>56</v>
      </c>
      <c r="H11" s="193" t="n">
        <f aca="false">SUM(H51,H91,H131,H171,H211,H251,H291,H331,H371,H411,H451,H491,H531)</f>
        <v>57</v>
      </c>
      <c r="I11" s="193" t="n">
        <f aca="false">SUM(I51,I91,I131,I171,I211,I251,I291,I331,I371,I411,I451,I491,I531)</f>
        <v>57</v>
      </c>
      <c r="J11" s="193" t="n">
        <f aca="false">SUM(J51,J91,J131,J171,J211,J251,J291,J331,J371,J411,J451,J491,J531)</f>
        <v>66</v>
      </c>
      <c r="K11" s="193" t="n">
        <f aca="false">SUM(K51,K91,K131,K171,K211,K251,K291,K331,K371,K411,K451,K491,K531)</f>
        <v>38</v>
      </c>
      <c r="L11" s="193" t="n">
        <f aca="false">SUM(L51,L91,L131,L171,L211,L251,L291,L331,L371,L411,L451,L491,L531)</f>
        <v>65</v>
      </c>
      <c r="M11" s="193"/>
      <c r="N11" s="193"/>
      <c r="O11" s="193" t="n">
        <f aca="false">SUM(C11:N11)</f>
        <v>554</v>
      </c>
    </row>
    <row r="12" customFormat="false" ht="12.75" hidden="false" customHeight="false" outlineLevel="0" collapsed="false">
      <c r="A12" s="195" t="s">
        <v>211</v>
      </c>
      <c r="B12" s="196" t="n">
        <v>2015</v>
      </c>
      <c r="C12" s="196" t="n">
        <f aca="false">SUM(C52,C92,C132,C172,C212,C252,C292,C332,C372,C412,C452,C492,C532)</f>
        <v>47</v>
      </c>
      <c r="D12" s="196" t="n">
        <f aca="false">SUM(D52,D92,D132,D172,D212,D252,D292,D332,D372,D412,D452,D492,D532)</f>
        <v>37</v>
      </c>
      <c r="E12" s="196" t="n">
        <f aca="false">SUM(E52,E92,E132,E172,E212,E252,E292,E332,E372,E412,E452,E492,E532)</f>
        <v>49</v>
      </c>
      <c r="F12" s="196" t="n">
        <f aca="false">SUM(F52,F92,F132,F172,F212,F252,F292,F332,F372,F412,F452,F492,F532)</f>
        <v>53</v>
      </c>
      <c r="G12" s="196" t="n">
        <f aca="false">SUM(G52,G92,G132,G172,G212,G252,G292,G332,G372,G412,G452,G492,G532)</f>
        <v>50</v>
      </c>
      <c r="H12" s="196" t="n">
        <f aca="false">SUM(H52,H92,H132,H172,H212,H252,H292,H332,H372,H412,H452,H492,H532)</f>
        <v>39</v>
      </c>
      <c r="I12" s="196" t="n">
        <f aca="false">SUM(I52,I92,I132,I172,I212,I252,I292,I332,I372,I412,I452,I492,I532)</f>
        <v>49</v>
      </c>
      <c r="J12" s="196" t="n">
        <f aca="false">SUM(J52,J92,J132,J172,J212,J252,J292,J332,J372,J412,J452,J492,J532)</f>
        <v>57</v>
      </c>
      <c r="K12" s="196" t="n">
        <f aca="false">SUM(K52,K92,K132,K172,K212,K252,K292,K332,K372,K412,K452,K492,K532)</f>
        <v>42</v>
      </c>
      <c r="L12" s="196" t="n">
        <f aca="false">SUM(L52,L92,L132,L172,L212,L252,L292,L332,L372,L412,L452,L492,L532)</f>
        <v>61</v>
      </c>
      <c r="M12" s="196"/>
      <c r="N12" s="196"/>
      <c r="O12" s="196" t="n">
        <f aca="false">SUM(C12:N12)</f>
        <v>484</v>
      </c>
    </row>
    <row r="13" customFormat="false" ht="12.75" hidden="false" customHeight="false" outlineLevel="0" collapsed="false">
      <c r="A13" s="195" t="s">
        <v>212</v>
      </c>
      <c r="B13" s="202" t="s">
        <v>210</v>
      </c>
      <c r="C13" s="198" t="n">
        <f aca="false">SUM(C11-C12)</f>
        <v>10</v>
      </c>
      <c r="D13" s="198" t="n">
        <f aca="false">SUM(D11-D12)</f>
        <v>17</v>
      </c>
      <c r="E13" s="198" t="n">
        <f aca="false">SUM(E11-E12)</f>
        <v>2</v>
      </c>
      <c r="F13" s="198" t="n">
        <f aca="false">SUM(F11-F12)</f>
        <v>0</v>
      </c>
      <c r="G13" s="198" t="n">
        <f aca="false">SUM(G11-G12)</f>
        <v>6</v>
      </c>
      <c r="H13" s="198" t="n">
        <f aca="false">SUM(H11-H12)</f>
        <v>18</v>
      </c>
      <c r="I13" s="198" t="n">
        <f aca="false">SUM(I11-I12)</f>
        <v>8</v>
      </c>
      <c r="J13" s="198" t="n">
        <f aca="false">SUM(J11-J12)</f>
        <v>9</v>
      </c>
      <c r="K13" s="198" t="n">
        <f aca="false">SUM(K11-K12)</f>
        <v>-4</v>
      </c>
      <c r="L13" s="198" t="n">
        <f aca="false">SUM(L11-L12)</f>
        <v>4</v>
      </c>
      <c r="M13" s="198"/>
      <c r="N13" s="198"/>
      <c r="O13" s="198" t="n">
        <f aca="false">SUM(O11-O12)</f>
        <v>70</v>
      </c>
    </row>
    <row r="14" customFormat="false" ht="13.5" hidden="false" customHeight="false" outlineLevel="0" collapsed="false">
      <c r="A14" s="199"/>
      <c r="B14" s="200" t="s">
        <v>9</v>
      </c>
      <c r="C14" s="201" t="n">
        <f aca="false">C13/C12</f>
        <v>0.212765957446809</v>
      </c>
      <c r="D14" s="201" t="n">
        <f aca="false">D13/D12</f>
        <v>0.45945945945946</v>
      </c>
      <c r="E14" s="201" t="n">
        <f aca="false">E13/E12</f>
        <v>0.0408163265306122</v>
      </c>
      <c r="F14" s="201" t="n">
        <f aca="false">F13/F12</f>
        <v>0</v>
      </c>
      <c r="G14" s="201" t="n">
        <f aca="false">G13/G12</f>
        <v>0.12</v>
      </c>
      <c r="H14" s="201" t="n">
        <f aca="false">H13/H12</f>
        <v>0.461538461538462</v>
      </c>
      <c r="I14" s="201" t="n">
        <f aca="false">I13/I12</f>
        <v>0.163265306122449</v>
      </c>
      <c r="J14" s="201" t="n">
        <f aca="false">J13/J12</f>
        <v>0.157894736842105</v>
      </c>
      <c r="K14" s="201" t="n">
        <f aca="false">K13/K12</f>
        <v>-0.0952380952380952</v>
      </c>
      <c r="L14" s="201" t="n">
        <f aca="false">L13/L12</f>
        <v>0.0655737704918033</v>
      </c>
      <c r="M14" s="201"/>
      <c r="N14" s="201"/>
      <c r="O14" s="201" t="n">
        <f aca="false">O13/O12</f>
        <v>0.144628099173554</v>
      </c>
    </row>
    <row r="15" customFormat="false" ht="12.75" hidden="false" customHeight="false" outlineLevel="0" collapsed="false">
      <c r="A15" s="198"/>
      <c r="B15" s="194" t="n">
        <v>2016</v>
      </c>
      <c r="C15" s="193" t="n">
        <f aca="false">SUM(C55,C95,C135,C175,C215,C255,C295,C335,C375,C415,C455,C495,C535)</f>
        <v>11</v>
      </c>
      <c r="D15" s="193" t="n">
        <f aca="false">SUM(D55,D95,D135,D175,D215,D255,D295,D335,D375,D415,D455,D495,D535)</f>
        <v>13</v>
      </c>
      <c r="E15" s="193" t="n">
        <f aca="false">SUM(E55,E95,E135,E175,E215,E255,E295,E335,E375,E415,E455,E495,E535)</f>
        <v>10</v>
      </c>
      <c r="F15" s="193" t="n">
        <f aca="false">SUM(F55,F95,F135,F175,F215,F255,F295,F335,F375,F415,F455,F495,F535)</f>
        <v>12</v>
      </c>
      <c r="G15" s="193" t="n">
        <f aca="false">SUM(G55,G95,G135,G175,G215,G255,G295,G335,G375,G415,G455,G495,G535)</f>
        <v>17</v>
      </c>
      <c r="H15" s="193" t="n">
        <f aca="false">SUM(H55,H95,H135,H175,H215,H255,H295,H335,H375,H415,H455,H495,H535)</f>
        <v>13</v>
      </c>
      <c r="I15" s="193" t="n">
        <f aca="false">SUM(I55,I95,I135,I175,I215,I255,I295,I335,I375,I415,I455,I495,I535)</f>
        <v>9</v>
      </c>
      <c r="J15" s="193" t="n">
        <f aca="false">SUM(J55,J95,J135,J175,J215,J255,J295,J335,J375,J415,J455,J495,J535)</f>
        <v>9</v>
      </c>
      <c r="K15" s="193" t="n">
        <f aca="false">SUM(K55,K95,K135,K175,K215,K255,K295,K335,K375,K415,K455,K495,K535)</f>
        <v>17</v>
      </c>
      <c r="L15" s="193" t="n">
        <f aca="false">SUM(L55,L95,L135,L175,L215,L255,L295,L335,L375,L415,L455,L495,L535)</f>
        <v>16</v>
      </c>
      <c r="M15" s="194"/>
      <c r="N15" s="194"/>
      <c r="O15" s="194" t="n">
        <f aca="false">SUM(C15:N15)</f>
        <v>127</v>
      </c>
    </row>
    <row r="16" customFormat="false" ht="12.75" hidden="false" customHeight="false" outlineLevel="0" collapsed="false">
      <c r="A16" s="203" t="s">
        <v>213</v>
      </c>
      <c r="B16" s="196" t="n">
        <v>2015</v>
      </c>
      <c r="C16" s="196" t="n">
        <f aca="false">SUM(C56,C96,C136,C176,C216,C256,C296,C336,C376,C416,C456,C496,C536)</f>
        <v>13</v>
      </c>
      <c r="D16" s="196" t="n">
        <f aca="false">SUM(D56,D96,D136,D176,D216,D256,D296,D336,D376,D416,D456,D496,D536)</f>
        <v>12</v>
      </c>
      <c r="E16" s="196" t="n">
        <f aca="false">SUM(E56,E96,E136,E176,E216,E256,E296,E336,E376,E416,E456,E496,E536)</f>
        <v>14</v>
      </c>
      <c r="F16" s="196" t="n">
        <f aca="false">SUM(F56,F96,F136,F176,F216,F256,F296,F336,F376,F416,F456,F496,F536)</f>
        <v>13</v>
      </c>
      <c r="G16" s="196" t="n">
        <f aca="false">SUM(G56,G96,G136,G176,G216,G256,G296,G336,G376,G416,G456,G496,G536)</f>
        <v>9</v>
      </c>
      <c r="H16" s="196" t="n">
        <f aca="false">SUM(H56,H96,H136,H176,H216,H256,H296,H336,H376,H416,H456,H496,H536)</f>
        <v>9</v>
      </c>
      <c r="I16" s="196" t="n">
        <f aca="false">SUM(I56,I96,I136,I176,I216,I256,I296,I336,I376,I416,I456,I496,I536)</f>
        <v>19</v>
      </c>
      <c r="J16" s="196" t="n">
        <f aca="false">SUM(J56,J96,J136,J176,J216,J256,J296,J336,J376,J416,J456,J496,J536)</f>
        <v>19</v>
      </c>
      <c r="K16" s="196" t="n">
        <f aca="false">SUM(K56,K96,K136,K176,K216,K256,K296,K336,K376,K416,K456,K496,K536)</f>
        <v>19</v>
      </c>
      <c r="L16" s="196" t="n">
        <f aca="false">SUM(L56,L96,L136,L176,L216,L256,L296,L336,L376,L416,L456,L496,L536)</f>
        <v>15</v>
      </c>
      <c r="M16" s="196"/>
      <c r="N16" s="196"/>
      <c r="O16" s="196" t="n">
        <f aca="false">SUM(C16:N16)</f>
        <v>142</v>
      </c>
    </row>
    <row r="17" customFormat="false" ht="12.75" hidden="false" customHeight="false" outlineLevel="0" collapsed="false">
      <c r="A17" s="195" t="s">
        <v>214</v>
      </c>
      <c r="B17" s="202" t="s">
        <v>210</v>
      </c>
      <c r="C17" s="198" t="n">
        <f aca="false">SUM(C15-C16)</f>
        <v>-2</v>
      </c>
      <c r="D17" s="198" t="n">
        <f aca="false">SUM(D15-D16)</f>
        <v>1</v>
      </c>
      <c r="E17" s="198" t="n">
        <f aca="false">SUM(E15-E16)</f>
        <v>-4</v>
      </c>
      <c r="F17" s="198" t="n">
        <f aca="false">SUM(F15-F16)</f>
        <v>-1</v>
      </c>
      <c r="G17" s="198" t="n">
        <f aca="false">SUM(G15-G16)</f>
        <v>8</v>
      </c>
      <c r="H17" s="198" t="n">
        <f aca="false">SUM(H15-H16)</f>
        <v>4</v>
      </c>
      <c r="I17" s="198" t="n">
        <f aca="false">SUM(I15-I16)</f>
        <v>-10</v>
      </c>
      <c r="J17" s="198" t="n">
        <f aca="false">SUM(J15-J16)</f>
        <v>-10</v>
      </c>
      <c r="K17" s="198" t="n">
        <f aca="false">SUM(K15-K16)</f>
        <v>-2</v>
      </c>
      <c r="L17" s="198" t="n">
        <f aca="false">SUM(L15-L16)</f>
        <v>1</v>
      </c>
      <c r="M17" s="196"/>
      <c r="N17" s="198"/>
      <c r="O17" s="198" t="n">
        <f aca="false">SUM(O15-O16)</f>
        <v>-15</v>
      </c>
    </row>
    <row r="18" customFormat="false" ht="13.5" hidden="false" customHeight="false" outlineLevel="0" collapsed="false">
      <c r="A18" s="199"/>
      <c r="B18" s="200" t="s">
        <v>9</v>
      </c>
      <c r="C18" s="201" t="n">
        <f aca="false">C17/C16</f>
        <v>-0.153846153846154</v>
      </c>
      <c r="D18" s="201" t="n">
        <f aca="false">D17/D16</f>
        <v>0.0833333333333333</v>
      </c>
      <c r="E18" s="201" t="n">
        <f aca="false">E17/E16</f>
        <v>-0.285714285714286</v>
      </c>
      <c r="F18" s="201" t="n">
        <f aca="false">F17/F16</f>
        <v>-0.0769230769230769</v>
      </c>
      <c r="G18" s="201" t="n">
        <f aca="false">G17/G16</f>
        <v>0.888888888888889</v>
      </c>
      <c r="H18" s="201" t="n">
        <f aca="false">H17/H16</f>
        <v>0.444444444444444</v>
      </c>
      <c r="I18" s="201" t="n">
        <f aca="false">I17/I16</f>
        <v>-0.526315789473684</v>
      </c>
      <c r="J18" s="201" t="n">
        <f aca="false">J17/J16</f>
        <v>-0.526315789473684</v>
      </c>
      <c r="K18" s="201" t="n">
        <f aca="false">K17/K16</f>
        <v>-0.105263157894737</v>
      </c>
      <c r="L18" s="201" t="n">
        <f aca="false">L17/L16</f>
        <v>0.0666666666666667</v>
      </c>
      <c r="M18" s="201"/>
      <c r="N18" s="201"/>
      <c r="O18" s="201" t="n">
        <f aca="false">O17/O16</f>
        <v>-0.105633802816901</v>
      </c>
    </row>
    <row r="19" customFormat="false" ht="12.75" hidden="false" customHeight="false" outlineLevel="0" collapsed="false">
      <c r="A19" s="198"/>
      <c r="B19" s="194" t="n">
        <v>2016</v>
      </c>
      <c r="C19" s="194" t="n">
        <f aca="false">SUM(C59,C99,C139,C179,C219,C259,C299,C339,C379,C419,C459,C499,C539)</f>
        <v>0</v>
      </c>
      <c r="D19" s="194" t="n">
        <f aca="false">SUM(D59,D99,D139,D179,D219,D259,D299,D339,D379,D419,D459,D499,D539)</f>
        <v>0</v>
      </c>
      <c r="E19" s="194" t="n">
        <f aca="false">SUM(E59,E99,E139,E179,E219,E259,E299,E339,E379,E419,E459,E499,E539)</f>
        <v>0</v>
      </c>
      <c r="F19" s="194" t="n">
        <f aca="false">SUM(F59,F99,F139,F179,F219,F259,F299,F339,F379,F419,F459,F499,F539)</f>
        <v>0</v>
      </c>
      <c r="G19" s="193" t="n">
        <f aca="false">SUM(G59,G99,G139,G179,G219,G259,G299,G339,G379,G419,G459,G499,G539)</f>
        <v>0</v>
      </c>
      <c r="H19" s="193" t="n">
        <f aca="false">SUM(H59,H99,H139,H179,H219,H259,H299,H339,H379,H419,H459,H499,H539)</f>
        <v>0</v>
      </c>
      <c r="I19" s="193" t="n">
        <f aca="false">SUM(I59,I99,I139,I179,I219,I259,I299,I339,I379,I419,I459,I499,I539)</f>
        <v>0</v>
      </c>
      <c r="J19" s="193" t="n">
        <f aca="false">SUM(J59,J99,J139,J179,J219,J259,J299,J339,J379,J419,J459,J499,J539)</f>
        <v>0</v>
      </c>
      <c r="K19" s="193" t="n">
        <f aca="false">SUM(K59,K99,K139,K179,K219,K259,K299,K339,K379,K419,K459,K499,K539)</f>
        <v>0</v>
      </c>
      <c r="L19" s="193" t="n">
        <f aca="false">SUM(L59,L99,L139,L179,L219,L259,L299,L339,L379,L419,L459,L499,L539)</f>
        <v>1</v>
      </c>
      <c r="M19" s="194"/>
      <c r="N19" s="194"/>
      <c r="O19" s="194" t="n">
        <f aca="false">SUM(C19:N19)</f>
        <v>1</v>
      </c>
    </row>
    <row r="20" customFormat="false" ht="12.75" hidden="false" customHeight="false" outlineLevel="0" collapsed="false">
      <c r="A20" s="203" t="s">
        <v>215</v>
      </c>
      <c r="B20" s="196" t="n">
        <v>2015</v>
      </c>
      <c r="C20" s="204" t="n">
        <f aca="false">SUM(C60,C100,C140,C180,C220,C260,C300,C340,C380,C420,C460,C500,C540)</f>
        <v>0</v>
      </c>
      <c r="D20" s="204" t="n">
        <f aca="false">SUM(D60,D100,D140,D180,D220,D260,D300,D340,D380,D420,D460,D500,D540)</f>
        <v>0</v>
      </c>
      <c r="E20" s="204" t="n">
        <f aca="false">SUM(E60,E100,E140,E180,E220,E260,E300,E340,E380,E420,E460,E500,E540)</f>
        <v>0</v>
      </c>
      <c r="F20" s="204" t="n">
        <f aca="false">SUM(F60,F100,F140,F180,F220,F260,F300,F340,F380,F420,F460,F500,F540)</f>
        <v>0</v>
      </c>
      <c r="G20" s="196" t="n">
        <f aca="false">SUM(G60,G100,G140,G180,G220,G260,G300,G340,G380,G420,G460,G500,G540)</f>
        <v>0</v>
      </c>
      <c r="H20" s="196" t="n">
        <f aca="false">SUM(H60,H100,H140,H180,H220,H260,H300,H340,H380,H420,H460,H500,H540)</f>
        <v>0</v>
      </c>
      <c r="I20" s="196" t="n">
        <f aca="false">SUM(I60,I100,I140,I180,I220,I260,I300,I340,I380,I420,I460,I500,I540)</f>
        <v>1</v>
      </c>
      <c r="J20" s="196" t="n">
        <f aca="false">SUM(J60,J100,J140,J180,J220,J260,J300,J340,J380,J420,J460,J500,J540)</f>
        <v>0</v>
      </c>
      <c r="K20" s="196" t="n">
        <f aca="false">SUM(K60,K100,K140,K180,K220,K260,K300,K340,K380,K420,K460,K500,K540)</f>
        <v>1</v>
      </c>
      <c r="L20" s="196" t="n">
        <f aca="false">SUM(L60,L100,L140,L180,L220,L260,L300,L340,L380,L420,L460,L500,L540)</f>
        <v>0</v>
      </c>
      <c r="M20" s="196"/>
      <c r="N20" s="196"/>
      <c r="O20" s="196" t="n">
        <f aca="false">SUM(C20:K20)</f>
        <v>2</v>
      </c>
    </row>
    <row r="21" customFormat="false" ht="12.75" hidden="false" customHeight="false" outlineLevel="0" collapsed="false">
      <c r="A21" s="203" t="s">
        <v>216</v>
      </c>
      <c r="B21" s="202" t="s">
        <v>210</v>
      </c>
      <c r="C21" s="198" t="n">
        <f aca="false">SUM(C19-C20)</f>
        <v>0</v>
      </c>
      <c r="D21" s="198" t="n">
        <f aca="false">SUM(D19-D20)</f>
        <v>0</v>
      </c>
      <c r="E21" s="198" t="n">
        <f aca="false">SUM(E19-E20)</f>
        <v>0</v>
      </c>
      <c r="F21" s="198" t="n">
        <f aca="false">SUM(F19-F20)</f>
        <v>0</v>
      </c>
      <c r="G21" s="198" t="n">
        <f aca="false">SUM(G19-G20)</f>
        <v>0</v>
      </c>
      <c r="H21" s="198" t="n">
        <f aca="false">SUM(H19-H20)</f>
        <v>0</v>
      </c>
      <c r="I21" s="198" t="n">
        <f aca="false">SUM(I19-I20)</f>
        <v>-1</v>
      </c>
      <c r="J21" s="198" t="n">
        <f aca="false">SUM(J19-J20)</f>
        <v>0</v>
      </c>
      <c r="K21" s="198" t="n">
        <f aca="false">SUM(K19-K20)</f>
        <v>-1</v>
      </c>
      <c r="L21" s="198" t="n">
        <f aca="false">SUM(L19-L20)</f>
        <v>1</v>
      </c>
      <c r="M21" s="198"/>
      <c r="N21" s="198"/>
      <c r="O21" s="198" t="n">
        <f aca="false">SUM(O19-O20)</f>
        <v>-1</v>
      </c>
    </row>
    <row r="22" customFormat="false" ht="13.5" hidden="false" customHeight="false" outlineLevel="0" collapsed="false">
      <c r="A22" s="205"/>
      <c r="B22" s="200" t="s">
        <v>9</v>
      </c>
      <c r="C22" s="201" t="n">
        <v>0</v>
      </c>
      <c r="D22" s="201" t="n">
        <v>0</v>
      </c>
      <c r="E22" s="201" t="n">
        <v>0</v>
      </c>
      <c r="F22" s="201" t="n">
        <v>0</v>
      </c>
      <c r="G22" s="201" t="n">
        <v>0</v>
      </c>
      <c r="H22" s="201" t="n">
        <v>0</v>
      </c>
      <c r="I22" s="201" t="n">
        <v>0</v>
      </c>
      <c r="J22" s="201" t="n">
        <v>0</v>
      </c>
      <c r="K22" s="201" t="n">
        <f aca="false">K21/K20</f>
        <v>-1</v>
      </c>
      <c r="L22" s="201" t="n">
        <v>0</v>
      </c>
      <c r="M22" s="201"/>
      <c r="N22" s="201"/>
      <c r="O22" s="201" t="n">
        <v>0</v>
      </c>
    </row>
    <row r="23" customFormat="false" ht="12.75" hidden="false" customHeight="false" outlineLevel="0" collapsed="false">
      <c r="A23" s="198"/>
      <c r="B23" s="194" t="n">
        <v>2016</v>
      </c>
      <c r="C23" s="194" t="n">
        <f aca="false">SUM(C63,C103,C143,C183,C223,C263,C303,C343,C383,C423,C463,C503,C543)</f>
        <v>400</v>
      </c>
      <c r="D23" s="194" t="n">
        <f aca="false">SUM(D63,D103,D143,D183,D223,D263,D303,D343,D383,D423,D463,D503,D543)</f>
        <v>308</v>
      </c>
      <c r="E23" s="194" t="n">
        <f aca="false">SUM(E63,E103,E143,E183,E223,E263,E303,E343,E383,E423,E463,E503,E543)</f>
        <v>296</v>
      </c>
      <c r="F23" s="194" t="n">
        <f aca="false">SUM(F63,F103,F143,F183,F223,F263,F303,F343,F383,F423,F463,F503,F543)</f>
        <v>237</v>
      </c>
      <c r="G23" s="193" t="n">
        <f aca="false">SUM(G63,G103,G143,G183,G223,G263,G303,G343,G383,G423,G463,G503,G543)</f>
        <v>260</v>
      </c>
      <c r="H23" s="193" t="n">
        <f aca="false">SUM(H63,H103,H143,H183,H223,H263,H303,H343,H383,H423,H463,H503,H543)</f>
        <v>196</v>
      </c>
      <c r="I23" s="193" t="n">
        <f aca="false">SUM(I63,I103,I143,I183,I223,I263,I303,I343,I383,I423,I463,I503,I543)</f>
        <v>217</v>
      </c>
      <c r="J23" s="193" t="n">
        <f aca="false">SUM(J63,J103,J143,J183,J223,J263,J303,J343,J383,J423,J463,J503,J543)</f>
        <v>231</v>
      </c>
      <c r="K23" s="193" t="n">
        <f aca="false">SUM(K63,K103,K143,K183,K223,K263,K303,K343,K383,K423,K463,K503,K543)</f>
        <v>220</v>
      </c>
      <c r="L23" s="193" t="n">
        <f aca="false">SUM(L63,L103,L143,L183,L223,L263,L303,L343,L383,L423,L463,L503,L543)</f>
        <v>268</v>
      </c>
      <c r="M23" s="194"/>
      <c r="N23" s="194"/>
      <c r="O23" s="194" t="n">
        <f aca="false">SUM(C23:N23)</f>
        <v>2633</v>
      </c>
    </row>
    <row r="24" customFormat="false" ht="12.75" hidden="false" customHeight="false" outlineLevel="0" collapsed="false">
      <c r="A24" s="195" t="s">
        <v>217</v>
      </c>
      <c r="B24" s="196" t="n">
        <v>2015</v>
      </c>
      <c r="C24" s="204" t="n">
        <f aca="false">SUM(C64,C104,C144,C184,C224,C264,C304,C344,C384,C424,C464,C504,C544)</f>
        <v>389</v>
      </c>
      <c r="D24" s="204" t="n">
        <f aca="false">SUM(D64,D104,D144,D184,D224,D264,D304,D344,D384,D424,D464,D504,D544)</f>
        <v>339</v>
      </c>
      <c r="E24" s="204" t="n">
        <f aca="false">SUM(E64,E104,E144,E184,E224,E264,E304,E344,E384,E424,E464,E504,E544)</f>
        <v>325</v>
      </c>
      <c r="F24" s="204" t="n">
        <f aca="false">SUM(F64,F104,F144,F184,F224,F264,F304,F344,F384,F424,F464,F504,F544)</f>
        <v>325</v>
      </c>
      <c r="G24" s="196" t="n">
        <f aca="false">SUM(G64,G104,G144,G184,G224,G264,G304,G344,G384,G424,G464,G504,G544)</f>
        <v>378</v>
      </c>
      <c r="H24" s="196" t="n">
        <f aca="false">SUM(H64,H104,H144,H184,H224,H264,H304,H344,H384,H424,H464,H504,H544)</f>
        <v>295</v>
      </c>
      <c r="I24" s="196" t="n">
        <f aca="false">SUM(I64,I104,I144,I184,I224,I264,I304,I344,I384,I424,I464,I504,I544)</f>
        <v>328</v>
      </c>
      <c r="J24" s="196" t="n">
        <f aca="false">SUM(J64,J104,J144,J184,J224,J264,J304,J344,J384,J424,J464,J504,J544)</f>
        <v>352</v>
      </c>
      <c r="K24" s="196" t="n">
        <f aca="false">SUM(K64,K104,K144,K184,K224,K264,K304,K344,K384,K424,K464,K504,K544)</f>
        <v>310</v>
      </c>
      <c r="L24" s="196" t="n">
        <f aca="false">SUM(L64,L104,L144,L184,L224,L264,L304,L344,L384,L424,L464,L504,L544)</f>
        <v>383</v>
      </c>
      <c r="M24" s="196"/>
      <c r="N24" s="196"/>
      <c r="O24" s="196" t="n">
        <f aca="false">SUM(C24:N24)</f>
        <v>3424</v>
      </c>
    </row>
    <row r="25" customFormat="false" ht="12.75" hidden="false" customHeight="false" outlineLevel="0" collapsed="false">
      <c r="A25" s="198"/>
      <c r="B25" s="202" t="s">
        <v>210</v>
      </c>
      <c r="C25" s="198" t="n">
        <f aca="false">SUM(C23-C24)</f>
        <v>11</v>
      </c>
      <c r="D25" s="198" t="n">
        <f aca="false">SUM(D23-D24)</f>
        <v>-31</v>
      </c>
      <c r="E25" s="198" t="n">
        <f aca="false">SUM(E23-E24)</f>
        <v>-29</v>
      </c>
      <c r="F25" s="198" t="n">
        <f aca="false">SUM(F23-F24)</f>
        <v>-88</v>
      </c>
      <c r="G25" s="198" t="n">
        <f aca="false">SUM(G23-G24)</f>
        <v>-118</v>
      </c>
      <c r="H25" s="198" t="n">
        <f aca="false">SUM(H23-H24)</f>
        <v>-99</v>
      </c>
      <c r="I25" s="198" t="n">
        <f aca="false">SUM(I23-I24)</f>
        <v>-111</v>
      </c>
      <c r="J25" s="198" t="n">
        <f aca="false">SUM(J23-J24)</f>
        <v>-121</v>
      </c>
      <c r="K25" s="198" t="n">
        <f aca="false">SUM(K23-K24)</f>
        <v>-90</v>
      </c>
      <c r="L25" s="198" t="n">
        <f aca="false">SUM(L23-L24)</f>
        <v>-115</v>
      </c>
      <c r="M25" s="198"/>
      <c r="N25" s="198"/>
      <c r="O25" s="198" t="n">
        <f aca="false">SUM(O23-O24)</f>
        <v>-791</v>
      </c>
    </row>
    <row r="26" customFormat="false" ht="13.5" hidden="false" customHeight="false" outlineLevel="0" collapsed="false">
      <c r="A26" s="199"/>
      <c r="B26" s="200" t="s">
        <v>9</v>
      </c>
      <c r="C26" s="201" t="n">
        <f aca="false">C25/C24</f>
        <v>0.0282776349614396</v>
      </c>
      <c r="D26" s="201" t="n">
        <f aca="false">D25/D24</f>
        <v>-0.0914454277286136</v>
      </c>
      <c r="E26" s="201" t="n">
        <f aca="false">E25/E24</f>
        <v>-0.0892307692307692</v>
      </c>
      <c r="F26" s="201" t="n">
        <f aca="false">F25/F24</f>
        <v>-0.270769230769231</v>
      </c>
      <c r="G26" s="201" t="n">
        <f aca="false">G25/G24</f>
        <v>-0.312169312169312</v>
      </c>
      <c r="H26" s="201" t="n">
        <f aca="false">H25/H24</f>
        <v>-0.335593220338983</v>
      </c>
      <c r="I26" s="201" t="n">
        <f aca="false">I25/I24</f>
        <v>-0.338414634146342</v>
      </c>
      <c r="J26" s="201" t="n">
        <f aca="false">J25/J24</f>
        <v>-0.34375</v>
      </c>
      <c r="K26" s="201" t="n">
        <f aca="false">K25/K24</f>
        <v>-0.290322580645161</v>
      </c>
      <c r="L26" s="201" t="n">
        <f aca="false">L25/L24</f>
        <v>-0.300261096605744</v>
      </c>
      <c r="M26" s="201"/>
      <c r="N26" s="201"/>
      <c r="O26" s="201" t="n">
        <f aca="false">O25/O24</f>
        <v>-0.231016355140187</v>
      </c>
    </row>
    <row r="27" customFormat="false" ht="12.75" hidden="false" customHeight="false" outlineLevel="0" collapsed="false">
      <c r="A27" s="198"/>
      <c r="B27" s="194" t="n">
        <v>2016</v>
      </c>
      <c r="C27" s="194" t="n">
        <f aca="false">SUM(C67,C107,C147,C187,C227,C267,C307,C347,C387,C427,C467,C507,C547)</f>
        <v>328</v>
      </c>
      <c r="D27" s="194" t="n">
        <f aca="false">SUM(D67,D107,D147,D187,D227,D267,D307,D347,D387,D427,D467,D507,D547)</f>
        <v>268</v>
      </c>
      <c r="E27" s="194" t="n">
        <f aca="false">SUM(E67,E107,E147,E187,E227,E267,E307,E347,E387,E427,E467,E507,E547)</f>
        <v>250</v>
      </c>
      <c r="F27" s="194" t="n">
        <f aca="false">SUM(F67,F107,F147,F187,F227,F267,F307,F347,F387,F427,F467,F507,F547)</f>
        <v>278</v>
      </c>
      <c r="G27" s="193" t="n">
        <f aca="false">SUM(G67,G107,G147,G187,G227,G267,G307,G347,G387,G427,G467,G507,G547)</f>
        <v>321</v>
      </c>
      <c r="H27" s="193" t="n">
        <f aca="false">SUM(H67,H107,H147,H187,H227,H267,H307,H347,H387,H427,H467,H507,H547)</f>
        <v>282</v>
      </c>
      <c r="I27" s="193" t="n">
        <f aca="false">SUM(I67,I107,I147,I187,I227,I267,I307,I347,I387,I427,I467,I507,I547)</f>
        <v>334</v>
      </c>
      <c r="J27" s="193" t="n">
        <f aca="false">SUM(J67,J107,J147,J187,J227,J267,J307,J347,J387,J427,J467,J507,J547)</f>
        <v>253</v>
      </c>
      <c r="K27" s="193" t="n">
        <f aca="false">SUM(K67,K107,K147,K187,K227,K267,K307,K347,K387,K427,K467,K507,K547)</f>
        <v>288</v>
      </c>
      <c r="L27" s="193" t="n">
        <f aca="false">SUM(L67,L107,L147,L187,L227,L267,L307,L347,L387,L427,L467,L507,L547)</f>
        <v>326</v>
      </c>
      <c r="M27" s="194"/>
      <c r="N27" s="194"/>
      <c r="O27" s="194" t="n">
        <f aca="false">SUM(C27:N27)</f>
        <v>2928</v>
      </c>
    </row>
    <row r="28" customFormat="false" ht="12.75" hidden="false" customHeight="false" outlineLevel="0" collapsed="false">
      <c r="A28" s="195" t="s">
        <v>218</v>
      </c>
      <c r="B28" s="196" t="n">
        <v>2015</v>
      </c>
      <c r="C28" s="204" t="n">
        <f aca="false">SUM(C68,C108,C148,C188,C228,C268,C308,C348,C388,C428,C468,C508,C548)</f>
        <v>253</v>
      </c>
      <c r="D28" s="204" t="n">
        <f aca="false">SUM(D68,D108,D148,D188,D228,D268,D308,D348,D388,D428,D468,D508,D548)</f>
        <v>244</v>
      </c>
      <c r="E28" s="204" t="n">
        <f aca="false">SUM(E68,E108,E148,E188,E228,E268,E308,E348,E388,E428,E468,E508,E548)</f>
        <v>281</v>
      </c>
      <c r="F28" s="204" t="n">
        <f aca="false">SUM(F68,F108,F148,F188,F228,F268,F308,F348,F388,F428,F468,F508,F548)</f>
        <v>207</v>
      </c>
      <c r="G28" s="204" t="n">
        <f aca="false">SUM(G68,G108,G148,G188,G228,G268,G308,G348,G388,G428,G468,G508,G548)</f>
        <v>263</v>
      </c>
      <c r="H28" s="204" t="n">
        <f aca="false">SUM(H68,H108,H148,H188,H228,H268,H308,H348,H388,H428,H468,H508,H548)</f>
        <v>254</v>
      </c>
      <c r="I28" s="204" t="n">
        <f aca="false">SUM(I68,I108,I148,I188,I228,I268,I308,I348,I388,I428,I468,I508,I548)</f>
        <v>230</v>
      </c>
      <c r="J28" s="204" t="n">
        <f aca="false">SUM(J68,J108,J148,J188,J228,J268,J308,J348,J388,J428,J468,J508,J548)</f>
        <v>269</v>
      </c>
      <c r="K28" s="204" t="n">
        <f aca="false">SUM(K68,K108,K148,K188,K228,K268,K308,K348,K388,K428,K468,K508,K548)</f>
        <v>232</v>
      </c>
      <c r="L28" s="196" t="n">
        <f aca="false">SUM(L68,L108,L148,L188,L228,L268,L308,L348,L388,L428,L468,L508,L548)</f>
        <v>253</v>
      </c>
      <c r="M28" s="196"/>
      <c r="N28" s="196"/>
      <c r="O28" s="196" t="n">
        <f aca="false">SUM(C28:N28)</f>
        <v>2486</v>
      </c>
    </row>
    <row r="29" customFormat="false" ht="12.75" hidden="false" customHeight="false" outlineLevel="0" collapsed="false">
      <c r="A29" s="195" t="s">
        <v>219</v>
      </c>
      <c r="B29" s="202" t="s">
        <v>210</v>
      </c>
      <c r="C29" s="198" t="n">
        <f aca="false">SUM(C27-C28)</f>
        <v>75</v>
      </c>
      <c r="D29" s="198" t="n">
        <f aca="false">SUM(D27-D28)</f>
        <v>24</v>
      </c>
      <c r="E29" s="198" t="n">
        <f aca="false">SUM(E27-E28)</f>
        <v>-31</v>
      </c>
      <c r="F29" s="198" t="n">
        <f aca="false">SUM(F27-F28)</f>
        <v>71</v>
      </c>
      <c r="G29" s="198" t="n">
        <f aca="false">SUM(G27-G28)</f>
        <v>58</v>
      </c>
      <c r="H29" s="198" t="n">
        <f aca="false">SUM(H27-H28)</f>
        <v>28</v>
      </c>
      <c r="I29" s="198" t="n">
        <f aca="false">SUM(I27-I28)</f>
        <v>104</v>
      </c>
      <c r="J29" s="198" t="n">
        <f aca="false">SUM(J27-J28)</f>
        <v>-16</v>
      </c>
      <c r="K29" s="198" t="n">
        <f aca="false">SUM(K27-K28)</f>
        <v>56</v>
      </c>
      <c r="L29" s="198" t="n">
        <f aca="false">SUM(L27-L28)</f>
        <v>73</v>
      </c>
      <c r="M29" s="198"/>
      <c r="N29" s="198"/>
      <c r="O29" s="198" t="n">
        <f aca="false">SUM(O27-O28)</f>
        <v>442</v>
      </c>
    </row>
    <row r="30" customFormat="false" ht="13.5" hidden="false" customHeight="false" outlineLevel="0" collapsed="false">
      <c r="A30" s="199"/>
      <c r="B30" s="200" t="s">
        <v>9</v>
      </c>
      <c r="C30" s="201" t="n">
        <f aca="false">C29/C28</f>
        <v>0.296442687747036</v>
      </c>
      <c r="D30" s="201" t="n">
        <f aca="false">D29/D28</f>
        <v>0.0983606557377049</v>
      </c>
      <c r="E30" s="201" t="n">
        <f aca="false">E29/E28</f>
        <v>-0.110320284697509</v>
      </c>
      <c r="F30" s="201" t="n">
        <f aca="false">F29/F28</f>
        <v>0.342995169082126</v>
      </c>
      <c r="G30" s="201" t="n">
        <f aca="false">G29/G28</f>
        <v>0.220532319391635</v>
      </c>
      <c r="H30" s="201" t="n">
        <f aca="false">H29/H28</f>
        <v>0.110236220472441</v>
      </c>
      <c r="I30" s="201" t="n">
        <f aca="false">I29/I28</f>
        <v>0.452173913043478</v>
      </c>
      <c r="J30" s="201" t="n">
        <f aca="false">J29/J28</f>
        <v>-0.0594795539033457</v>
      </c>
      <c r="K30" s="201" t="n">
        <f aca="false">K29/K28</f>
        <v>0.241379310344828</v>
      </c>
      <c r="L30" s="201" t="n">
        <f aca="false">L29/L28</f>
        <v>0.288537549407115</v>
      </c>
      <c r="M30" s="201"/>
      <c r="N30" s="201"/>
      <c r="O30" s="201" t="n">
        <f aca="false">O29/O28</f>
        <v>0.177795655671762</v>
      </c>
    </row>
    <row r="31" customFormat="false" ht="12.75" hidden="false" customHeight="false" outlineLevel="0" collapsed="false">
      <c r="A31" s="198"/>
      <c r="B31" s="194" t="n">
        <v>2016</v>
      </c>
      <c r="C31" s="193" t="n">
        <f aca="false">SUM(C71,C111,C151,C191,C231,C271,C311,C351,C391,C431,C471,C511,C551)</f>
        <v>730</v>
      </c>
      <c r="D31" s="193" t="n">
        <f aca="false">SUM(D71,D111,D151,D191,D231,D271,D311,D351,D391,D431,D471,D511,D551)</f>
        <v>786</v>
      </c>
      <c r="E31" s="193" t="n">
        <f aca="false">SUM(E71,E111,E151,E191,E231,E271,E311,E351,E391,E431,E471,E511,E551)</f>
        <v>655</v>
      </c>
      <c r="F31" s="193" t="n">
        <f aca="false">SUM(F71,F111,F151,F191,F231,F271,F311,F351,F391,F431,F471,F511,F551)</f>
        <v>673</v>
      </c>
      <c r="G31" s="193" t="n">
        <f aca="false">SUM(G71,G111,G151,G191,G231,G271,G311,G351,G391,G431,G471,G511,G551)</f>
        <v>646</v>
      </c>
      <c r="H31" s="193" t="n">
        <f aca="false">SUM(H71,H111,H151,H191,H231,H271,H311,H351,H391,H431,H471,H511,H551)</f>
        <v>633</v>
      </c>
      <c r="I31" s="193" t="n">
        <f aca="false">SUM(I71,I111,I151,I191,I231,I271,I311,I351,I391,I431,I471,I511,I551)</f>
        <v>670</v>
      </c>
      <c r="J31" s="193" t="n">
        <f aca="false">SUM(J71,J111,J151,J191,J231,J271,J311,J351,J391,J431,J471,J511,J551)</f>
        <v>698</v>
      </c>
      <c r="K31" s="193" t="n">
        <f aca="false">SUM(K71,K111,K151,K191,K231,K271,K311,K351,K391,K431,K471,K511,K551)</f>
        <v>704</v>
      </c>
      <c r="L31" s="193" t="n">
        <f aca="false">SUM(L71,L111,L151,L191,L231,L271,L311,L351,L391,L431,L471,L511,L551)</f>
        <v>705</v>
      </c>
      <c r="M31" s="194"/>
      <c r="N31" s="194"/>
      <c r="O31" s="194" t="n">
        <f aca="false">SUM(C31:N31)</f>
        <v>6900</v>
      </c>
    </row>
    <row r="32" customFormat="false" ht="12.75" hidden="false" customHeight="false" outlineLevel="0" collapsed="false">
      <c r="A32" s="195" t="s">
        <v>220</v>
      </c>
      <c r="B32" s="196" t="n">
        <v>2015</v>
      </c>
      <c r="C32" s="204" t="n">
        <f aca="false">SUM(C72,C112,C152,C192,C232,C272,C312,C352,C392,C432,C472,C512,C552)</f>
        <v>961</v>
      </c>
      <c r="D32" s="204" t="n">
        <f aca="false">SUM(D72,D112,D152,D192,D232,D272,D312,D352,D392,D432,D472,D512,D552)</f>
        <v>753</v>
      </c>
      <c r="E32" s="204" t="n">
        <f aca="false">SUM(E72,E112,E152,E192,E232,E272,E312,E352,E392,E432,E472,E512,E552)</f>
        <v>808</v>
      </c>
      <c r="F32" s="204" t="n">
        <f aca="false">SUM(F72,F112,F152,F192,F232,F272,F312,F352,F392,F432,F472,F512,F552)</f>
        <v>775</v>
      </c>
      <c r="G32" s="204" t="n">
        <f aca="false">SUM(G72,G112,G152,G192,G232,G272,G312,G352,G392,G432,G472,G512,G552)</f>
        <v>747</v>
      </c>
      <c r="H32" s="204" t="n">
        <f aca="false">SUM(H72,H112,H152,H192,H232,H272,H312,H352,H392,H432,H472,H512,H552)</f>
        <v>814</v>
      </c>
      <c r="I32" s="204" t="n">
        <f aca="false">SUM(I72,I112,I152,I192,I232,I272,I312,I352,I392,I432,I472,I512,I552)</f>
        <v>801</v>
      </c>
      <c r="J32" s="204" t="n">
        <f aca="false">SUM(J72,J112,J152,J192,J232,J272,J312,J352,J392,J432,J472,J512,J552)</f>
        <v>751</v>
      </c>
      <c r="K32" s="204" t="n">
        <f aca="false">SUM(K72,K112,K152,K192,K232,K272,K312,K352,K392,K432,K472,K512,K552)</f>
        <v>724</v>
      </c>
      <c r="L32" s="196" t="n">
        <f aca="false">SUM(L72,L112,L152,L192,L232,L272,L312,L352,L392,L432,L472,L512,L552)</f>
        <v>784</v>
      </c>
      <c r="M32" s="196"/>
      <c r="N32" s="196"/>
      <c r="O32" s="196" t="n">
        <f aca="false">SUM(C32:N32)</f>
        <v>7918</v>
      </c>
    </row>
    <row r="33" customFormat="false" ht="12.75" hidden="false" customHeight="false" outlineLevel="0" collapsed="false">
      <c r="A33" s="198"/>
      <c r="B33" s="202" t="s">
        <v>210</v>
      </c>
      <c r="C33" s="198" t="n">
        <f aca="false">SUM(C31-C32)</f>
        <v>-231</v>
      </c>
      <c r="D33" s="198" t="n">
        <f aca="false">SUM(D31-D32)</f>
        <v>33</v>
      </c>
      <c r="E33" s="198" t="n">
        <f aca="false">SUM(E31-E32)</f>
        <v>-153</v>
      </c>
      <c r="F33" s="198" t="n">
        <f aca="false">SUM(F31-F32)</f>
        <v>-102</v>
      </c>
      <c r="G33" s="198" t="n">
        <f aca="false">SUM(G31-G32)</f>
        <v>-101</v>
      </c>
      <c r="H33" s="198" t="n">
        <f aca="false">SUM(H31-H32)</f>
        <v>-181</v>
      </c>
      <c r="I33" s="198" t="n">
        <f aca="false">SUM(I31-I32)</f>
        <v>-131</v>
      </c>
      <c r="J33" s="198" t="n">
        <f aca="false">SUM(J31-J32)</f>
        <v>-53</v>
      </c>
      <c r="K33" s="198" t="n">
        <f aca="false">SUM(K31-K32)</f>
        <v>-20</v>
      </c>
      <c r="L33" s="198" t="n">
        <f aca="false">SUM(L31-L32)</f>
        <v>-79</v>
      </c>
      <c r="M33" s="198"/>
      <c r="N33" s="198"/>
      <c r="O33" s="198" t="n">
        <f aca="false">SUM(O31-O32)</f>
        <v>-1018</v>
      </c>
    </row>
    <row r="34" customFormat="false" ht="13.5" hidden="false" customHeight="false" outlineLevel="0" collapsed="false">
      <c r="A34" s="199"/>
      <c r="B34" s="200" t="s">
        <v>9</v>
      </c>
      <c r="C34" s="201" t="n">
        <f aca="false">C33/C32</f>
        <v>-0.240374609781478</v>
      </c>
      <c r="D34" s="201" t="n">
        <f aca="false">D33/D32</f>
        <v>0.0438247011952191</v>
      </c>
      <c r="E34" s="201" t="n">
        <f aca="false">E33/E32</f>
        <v>-0.189356435643564</v>
      </c>
      <c r="F34" s="201" t="n">
        <f aca="false">F33/F32</f>
        <v>-0.131612903225806</v>
      </c>
      <c r="G34" s="201" t="n">
        <f aca="false">G33/G32</f>
        <v>-0.13520749665328</v>
      </c>
      <c r="H34" s="201" t="n">
        <f aca="false">H33/H32</f>
        <v>-0.222358722358722</v>
      </c>
      <c r="I34" s="201" t="n">
        <f aca="false">I33/I32</f>
        <v>-0.16354556803995</v>
      </c>
      <c r="J34" s="201" t="n">
        <f aca="false">J33/J32</f>
        <v>-0.070572569906791</v>
      </c>
      <c r="K34" s="201" t="n">
        <f aca="false">K33/K32</f>
        <v>-0.0276243093922652</v>
      </c>
      <c r="L34" s="201" t="n">
        <f aca="false">L33/L32</f>
        <v>-0.100765306122449</v>
      </c>
      <c r="M34" s="201"/>
      <c r="N34" s="201"/>
      <c r="O34" s="201" t="n">
        <f aca="false">O33/O32</f>
        <v>-0.128567820156605</v>
      </c>
    </row>
    <row r="35" customFormat="false" ht="12.75" hidden="false" customHeight="false" outlineLevel="0" collapsed="false">
      <c r="A35" s="198"/>
      <c r="B35" s="194" t="n">
        <v>2016</v>
      </c>
      <c r="C35" s="193" t="n">
        <f aca="false">SUM(C75,C115,C155,C195,C235,C275,C315,C355,C395,C435,C475,C515,C555)</f>
        <v>2170</v>
      </c>
      <c r="D35" s="206" t="n">
        <f aca="false">SUM(D75,D115,D155,D195,D235,D275,D315,D355,D395,D435,D475,D515,D555)</f>
        <v>2101</v>
      </c>
      <c r="E35" s="206" t="n">
        <f aca="false">SUM(E75,E115,E155,E195,E235,E275,E315,E355,E395,E435,E475,E515,E555)</f>
        <v>2119</v>
      </c>
      <c r="F35" s="206" t="n">
        <f aca="false">SUM(F75,F115,F155,F195,F235,F275,F315,F355,F395,F435,F475,F515,F555)</f>
        <v>1881</v>
      </c>
      <c r="G35" s="193" t="n">
        <f aca="false">SUM(G75,G115,G155,G195,G235,G275,G315,G355,G395,G435,G475,G515,G555)</f>
        <v>1968</v>
      </c>
      <c r="H35" s="193" t="n">
        <f aca="false">SUM(H75,H115,H155,H195,H235,H275,H315,H355,H395,H435,H475,H515,H555)</f>
        <v>1768</v>
      </c>
      <c r="I35" s="193" t="n">
        <f aca="false">SUM(I75,I115,I155,I195,I235,I275,I315,I355,I395,I435,I475,I515,I555)</f>
        <v>1802</v>
      </c>
      <c r="J35" s="193" t="n">
        <f aca="false">SUM(J75,J115,J155,J195,J235,J275,J315,J355,J395,J435,J475,J515,J555)</f>
        <v>1971</v>
      </c>
      <c r="K35" s="193" t="n">
        <f aca="false">SUM(K75,K115,K155,K195,K235,K275,K315,K355,K395,K435,K475,K515,K555)</f>
        <v>1915</v>
      </c>
      <c r="L35" s="193" t="n">
        <f aca="false">SUM(L75,L115,L155,L195,L235,L275,L315,L355,L395,L435,L475,L515,L555)</f>
        <v>1826</v>
      </c>
      <c r="M35" s="194"/>
      <c r="N35" s="194"/>
      <c r="O35" s="194" t="n">
        <f aca="false">SUM(C35:N35)</f>
        <v>19521</v>
      </c>
    </row>
    <row r="36" customFormat="false" ht="12.75" hidden="false" customHeight="false" outlineLevel="0" collapsed="false">
      <c r="A36" s="195" t="s">
        <v>221</v>
      </c>
      <c r="B36" s="196" t="n">
        <v>2015</v>
      </c>
      <c r="C36" s="204" t="n">
        <f aca="false">SUM(C76,C116,C156,C196,C236,C276,C316,C356,C396,C436,C476,C516,C556)</f>
        <v>2480</v>
      </c>
      <c r="D36" s="204" t="n">
        <f aca="false">SUM(D76,D116,D156,D196,D236,D276,D316,D356,D396,D436,D476,D516,D556)</f>
        <v>2072</v>
      </c>
      <c r="E36" s="204" t="n">
        <f aca="false">SUM(E76,E116,E156,E196,E236,E276,E316,E356,E396,E436,E476,E516,E556)</f>
        <v>2112</v>
      </c>
      <c r="F36" s="204" t="n">
        <f aca="false">SUM(F76,F116,F156,F196,F236,F276,F316,F356,F396,F436,F476,F516,F556)</f>
        <v>1904</v>
      </c>
      <c r="G36" s="204" t="n">
        <f aca="false">SUM(G76,G116,G156,G196,G236,G276,G316,G356,G396,G436,G476,G516,G556)</f>
        <v>2054</v>
      </c>
      <c r="H36" s="204" t="n">
        <f aca="false">SUM(H76,H116,H156,H196,H236,H276,H316,H356,H396,H436,H476,H516,H556)</f>
        <v>1972</v>
      </c>
      <c r="I36" s="204" t="n">
        <f aca="false">SUM(I76,I116,I156,I196,I236,I276,I316,I356,I396,I436,I476,I516,I556)</f>
        <v>2051</v>
      </c>
      <c r="J36" s="204" t="n">
        <f aca="false">SUM(J76,J116,J156,J196,J236,J276,J316,J356,J396,J436,J476,J516,J556)</f>
        <v>2000</v>
      </c>
      <c r="K36" s="204" t="n">
        <f aca="false">SUM(K76,K116,K156,K196,K236,K276,K316,K356,K396,K436,K476,K516,K556)</f>
        <v>1969</v>
      </c>
      <c r="L36" s="196" t="n">
        <f aca="false">SUM(L76,L116,L156,L196,L236,L276,L316,L356,L396,L436,L476,L516,L556)</f>
        <v>2222</v>
      </c>
      <c r="M36" s="196"/>
      <c r="N36" s="196"/>
      <c r="O36" s="196" t="n">
        <f aca="false">SUM(C36:N36)</f>
        <v>20836</v>
      </c>
    </row>
    <row r="37" customFormat="false" ht="12.75" hidden="false" customHeight="false" outlineLevel="0" collapsed="false">
      <c r="A37" s="195" t="s">
        <v>222</v>
      </c>
      <c r="B37" s="202" t="s">
        <v>210</v>
      </c>
      <c r="C37" s="198" t="n">
        <f aca="false">SUM(C35-C36)</f>
        <v>-310</v>
      </c>
      <c r="D37" s="198" t="n">
        <f aca="false">SUM(D35-D36)</f>
        <v>29</v>
      </c>
      <c r="E37" s="198" t="n">
        <f aca="false">SUM(E35-E36)</f>
        <v>7</v>
      </c>
      <c r="F37" s="198" t="n">
        <f aca="false">SUM(F35-F36)</f>
        <v>-23</v>
      </c>
      <c r="G37" s="198" t="n">
        <f aca="false">SUM(G35-G36)</f>
        <v>-86</v>
      </c>
      <c r="H37" s="198" t="n">
        <f aca="false">SUM(H35-H36)</f>
        <v>-204</v>
      </c>
      <c r="I37" s="198" t="n">
        <f aca="false">SUM(I35-I36)</f>
        <v>-249</v>
      </c>
      <c r="J37" s="198" t="n">
        <f aca="false">SUM(J35-J36)</f>
        <v>-29</v>
      </c>
      <c r="K37" s="198" t="n">
        <f aca="false">SUM(K35-K36)</f>
        <v>-54</v>
      </c>
      <c r="L37" s="198" t="n">
        <f aca="false">SUM(L35-L36)</f>
        <v>-396</v>
      </c>
      <c r="M37" s="198"/>
      <c r="N37" s="198"/>
      <c r="O37" s="198" t="n">
        <f aca="false">SUM(O35-O36)</f>
        <v>-1315</v>
      </c>
    </row>
    <row r="38" customFormat="false" ht="13.5" hidden="false" customHeight="false" outlineLevel="0" collapsed="false">
      <c r="A38" s="199"/>
      <c r="B38" s="200" t="s">
        <v>9</v>
      </c>
      <c r="C38" s="201" t="n">
        <f aca="false">C37/C36</f>
        <v>-0.125</v>
      </c>
      <c r="D38" s="201" t="n">
        <f aca="false">D37/D36</f>
        <v>0.013996138996139</v>
      </c>
      <c r="E38" s="201" t="n">
        <f aca="false">E37/E36</f>
        <v>0.00331439393939394</v>
      </c>
      <c r="F38" s="201" t="n">
        <f aca="false">F37/F36</f>
        <v>-0.0120798319327731</v>
      </c>
      <c r="G38" s="201" t="n">
        <f aca="false">G37/G36</f>
        <v>-0.0418695228821811</v>
      </c>
      <c r="H38" s="201" t="n">
        <f aca="false">H37/H36</f>
        <v>-0.103448275862069</v>
      </c>
      <c r="I38" s="201" t="n">
        <f aca="false">I37/I36</f>
        <v>-0.121404193076548</v>
      </c>
      <c r="J38" s="201" t="n">
        <f aca="false">J37/J36</f>
        <v>-0.0145</v>
      </c>
      <c r="K38" s="201" t="n">
        <f aca="false">K37/K36</f>
        <v>-0.0274250888776028</v>
      </c>
      <c r="L38" s="201" t="n">
        <f aca="false">L37/L36</f>
        <v>-0.178217821782178</v>
      </c>
      <c r="M38" s="201"/>
      <c r="N38" s="201"/>
      <c r="O38" s="201" t="n">
        <f aca="false">O37/O36</f>
        <v>-0.0631119216740257</v>
      </c>
    </row>
    <row r="39" customFormat="false" ht="12.75" hidden="false" customHeight="false" outlineLevel="0" collapsed="false">
      <c r="A39" s="198"/>
      <c r="B39" s="194" t="n">
        <v>2016</v>
      </c>
      <c r="C39" s="193" t="n">
        <f aca="false">SUM(C79,C119,C159,C199,C239,C279,C319,C359,C399,C439,C479,C519,C559)</f>
        <v>307</v>
      </c>
      <c r="D39" s="193" t="n">
        <f aca="false">SUM(D79,D119,D159,D199,D239,D279,D319,D359,D399,D439,D479,D519,D559)</f>
        <v>305</v>
      </c>
      <c r="E39" s="193" t="n">
        <f aca="false">SUM(E79,E119,E159,E199,E239,E279,E319,E359,E399,E439,E479,E519,E559)</f>
        <v>336</v>
      </c>
      <c r="F39" s="193" t="n">
        <f aca="false">SUM(F79,F119,F159,F199,F239,F279,F319,F359,F399,F439,F479,F519,F559)</f>
        <v>298</v>
      </c>
      <c r="G39" s="193" t="n">
        <f aca="false">SUM(G79,G119,G159,G199,G239,G279,G319,G359,G399,G439,G479,G519,G559)</f>
        <v>290</v>
      </c>
      <c r="H39" s="193" t="n">
        <f aca="false">SUM(H79,H119,H159,H199,H239,H279,H319,H359,H399,H439,H479,H519,H559)</f>
        <v>292</v>
      </c>
      <c r="I39" s="193" t="n">
        <f aca="false">SUM(I79,I119,I159,I199,I239,I279,I319,I359,I399,I439,I479,I519,I559)</f>
        <v>342</v>
      </c>
      <c r="J39" s="193" t="n">
        <f aca="false">SUM(J79,J119,J159,J199,J239,J279,J319,J359,J399,J439,J479,J519,J559)</f>
        <v>351</v>
      </c>
      <c r="K39" s="193" t="n">
        <f aca="false">SUM(K79,K119,K159,K199,K239,K279,K319,K359,K399,K439,K479,K519,K559)</f>
        <v>294</v>
      </c>
      <c r="L39" s="193" t="n">
        <f aca="false">SUM(L79,L119,L159,L199,L239,L279,L319,L359,L399,L439,L479,L519,L559)</f>
        <v>306</v>
      </c>
      <c r="M39" s="194"/>
      <c r="N39" s="194"/>
      <c r="O39" s="194" t="n">
        <f aca="false">SUM(C39:N39)</f>
        <v>3121</v>
      </c>
    </row>
    <row r="40" customFormat="false" ht="12.75" hidden="false" customHeight="false" outlineLevel="0" collapsed="false">
      <c r="A40" s="195" t="s">
        <v>223</v>
      </c>
      <c r="B40" s="196" t="n">
        <v>2015</v>
      </c>
      <c r="C40" s="204" t="n">
        <f aca="false">SUM(C80,C120,C160,C200,C240,C280,C320,C360,C400,C440,C480,C520,C560)</f>
        <v>384</v>
      </c>
      <c r="D40" s="204" t="n">
        <f aca="false">SUM(D80,D120,D160,D200,D240,D280,D320,D360,D400,D440,D480,D520,D560)</f>
        <v>350</v>
      </c>
      <c r="E40" s="204" t="n">
        <f aca="false">SUM(E80,E120,E160,E200,E240,E280,E320,E360,E400,E440,E480,E520,E560)</f>
        <v>307</v>
      </c>
      <c r="F40" s="204" t="n">
        <f aca="false">SUM(F80,F120,F160,F200,F240,F280,F320,F360,F400,F440,F480,F520,F560)</f>
        <v>345</v>
      </c>
      <c r="G40" s="204" t="n">
        <f aca="false">SUM(G80,G120,G160,G200,G240,G280,G320,G360,G400,G440,G480,G520,G560)</f>
        <v>321</v>
      </c>
      <c r="H40" s="204" t="n">
        <f aca="false">SUM(H80,H120,H160,H200,H240,H280,H320,H360,H400,H440,H480,H520,H560)</f>
        <v>374</v>
      </c>
      <c r="I40" s="204" t="n">
        <f aca="false">SUM(I80,I120,I160,I200,I240,I280,I320,I360,I400,I440,I480,I520,I560)</f>
        <v>350</v>
      </c>
      <c r="J40" s="204" t="n">
        <f aca="false">SUM(J80,J120,J160,J200,J240,J280,J320,J360,J400,J440,J480,J520,J560)</f>
        <v>330</v>
      </c>
      <c r="K40" s="204" t="n">
        <f aca="false">SUM(K80,K120,K160,K200,K240,K280,K320,K360,K400,K440,K480,K520,K560)</f>
        <v>352</v>
      </c>
      <c r="L40" s="196" t="n">
        <f aca="false">SUM(L80,L120,L160,L200,L240,L280,L320,L360,L400,L440,L480,L520,L560)</f>
        <v>314</v>
      </c>
      <c r="M40" s="196"/>
      <c r="N40" s="196"/>
      <c r="O40" s="196" t="n">
        <f aca="false">SUM(C40:N40)</f>
        <v>3427</v>
      </c>
    </row>
    <row r="41" customFormat="false" ht="12.75" hidden="false" customHeight="false" outlineLevel="0" collapsed="false">
      <c r="A41" s="195" t="s">
        <v>224</v>
      </c>
      <c r="B41" s="202" t="s">
        <v>210</v>
      </c>
      <c r="C41" s="198" t="n">
        <f aca="false">SUM(C39-C40)</f>
        <v>-77</v>
      </c>
      <c r="D41" s="198" t="n">
        <f aca="false">SUM(D39-D40)</f>
        <v>-45</v>
      </c>
      <c r="E41" s="198" t="n">
        <f aca="false">SUM(E39-E40)</f>
        <v>29</v>
      </c>
      <c r="F41" s="198" t="n">
        <f aca="false">SUM(F39-F40)</f>
        <v>-47</v>
      </c>
      <c r="G41" s="198" t="n">
        <f aca="false">SUM(G39-G40)</f>
        <v>-31</v>
      </c>
      <c r="H41" s="198" t="n">
        <f aca="false">SUM(H39-H40)</f>
        <v>-82</v>
      </c>
      <c r="I41" s="198" t="n">
        <f aca="false">SUM(I39-I40)</f>
        <v>-8</v>
      </c>
      <c r="J41" s="198" t="n">
        <f aca="false">SUM(J39-J40)</f>
        <v>21</v>
      </c>
      <c r="K41" s="198" t="n">
        <f aca="false">SUM(K39-K40)</f>
        <v>-58</v>
      </c>
      <c r="L41" s="198" t="n">
        <f aca="false">SUM(L39-L40)</f>
        <v>-8</v>
      </c>
      <c r="M41" s="198"/>
      <c r="N41" s="198"/>
      <c r="O41" s="198" t="n">
        <f aca="false">SUM(O39-O40)</f>
        <v>-306</v>
      </c>
    </row>
    <row r="42" customFormat="false" ht="13.5" hidden="false" customHeight="false" outlineLevel="0" collapsed="false">
      <c r="A42" s="199"/>
      <c r="B42" s="200" t="s">
        <v>9</v>
      </c>
      <c r="C42" s="201" t="n">
        <f aca="false">C41/C40</f>
        <v>-0.200520833333333</v>
      </c>
      <c r="D42" s="201" t="n">
        <f aca="false">D41/D40</f>
        <v>-0.128571428571429</v>
      </c>
      <c r="E42" s="201" t="n">
        <f aca="false">E41/E40</f>
        <v>0.0944625407166124</v>
      </c>
      <c r="F42" s="201" t="n">
        <f aca="false">F41/F40</f>
        <v>-0.136231884057971</v>
      </c>
      <c r="G42" s="201" t="n">
        <f aca="false">G41/G40</f>
        <v>-0.0965732087227414</v>
      </c>
      <c r="H42" s="201" t="n">
        <f aca="false">H41/H40</f>
        <v>-0.219251336898396</v>
      </c>
      <c r="I42" s="201" t="n">
        <f aca="false">I41/I40</f>
        <v>-0.0228571428571429</v>
      </c>
      <c r="J42" s="201" t="n">
        <f aca="false">J41/J40</f>
        <v>0.0636363636363636</v>
      </c>
      <c r="K42" s="201" t="n">
        <f aca="false">K41/K40</f>
        <v>-0.164772727272727</v>
      </c>
      <c r="L42" s="201" t="n">
        <f aca="false">L41/L40</f>
        <v>-0.0254777070063694</v>
      </c>
      <c r="M42" s="201"/>
      <c r="N42" s="201"/>
      <c r="O42" s="201" t="n">
        <f aca="false">O41/O40</f>
        <v>-0.089290925007295</v>
      </c>
    </row>
    <row r="43" customFormat="false" ht="12.75" hidden="false" customHeight="false" outlineLevel="0" collapsed="false">
      <c r="O43" s="207"/>
    </row>
    <row r="44" customFormat="false" ht="12.75" hidden="false" customHeight="false" outlineLevel="0" collapsed="false">
      <c r="O44" s="74"/>
    </row>
    <row r="45" customFormat="false" ht="15.75" hidden="false" customHeight="false" outlineLevel="0" collapsed="false">
      <c r="A45" s="208" t="s">
        <v>68</v>
      </c>
      <c r="B45" s="209"/>
      <c r="C45" s="209"/>
      <c r="O45" s="74"/>
    </row>
    <row r="46" customFormat="false" ht="13.5" hidden="false" customHeight="false" outlineLevel="0" collapsed="false">
      <c r="A46" s="0" t="s">
        <v>2</v>
      </c>
      <c r="B46" s="192" t="s">
        <v>196</v>
      </c>
      <c r="C46" s="192" t="s">
        <v>197</v>
      </c>
      <c r="D46" s="192" t="s">
        <v>198</v>
      </c>
      <c r="E46" s="192" t="s">
        <v>199</v>
      </c>
      <c r="F46" s="192" t="s">
        <v>200</v>
      </c>
      <c r="G46" s="192" t="s">
        <v>201</v>
      </c>
      <c r="H46" s="192" t="s">
        <v>202</v>
      </c>
      <c r="I46" s="192" t="s">
        <v>203</v>
      </c>
      <c r="J46" s="192" t="s">
        <v>204</v>
      </c>
      <c r="K46" s="192" t="s">
        <v>205</v>
      </c>
      <c r="L46" s="192" t="s">
        <v>206</v>
      </c>
      <c r="M46" s="192" t="s">
        <v>207</v>
      </c>
      <c r="N46" s="192" t="s">
        <v>208</v>
      </c>
      <c r="O46" s="192" t="s">
        <v>52</v>
      </c>
    </row>
    <row r="47" customFormat="false" ht="12.75" hidden="false" customHeight="false" outlineLevel="0" collapsed="false">
      <c r="A47" s="193"/>
      <c r="B47" s="194" t="n">
        <v>2016</v>
      </c>
      <c r="C47" s="194" t="n">
        <f aca="false">SUM(C51+C55+C63+C67+C71+C75+C79)</f>
        <v>789</v>
      </c>
      <c r="D47" s="194" t="n">
        <f aca="false">SUM(D51+D55+D63+D67+D71+D75+D79)</f>
        <v>748</v>
      </c>
      <c r="E47" s="194" t="n">
        <f aca="false">SUM(E51+E55+E63+E67+E71+E75+E79)</f>
        <v>717</v>
      </c>
      <c r="F47" s="194" t="n">
        <f aca="false">SUM(F51+F55+F63+F67+F71+F75+F79)</f>
        <v>675</v>
      </c>
      <c r="G47" s="194" t="n">
        <f aca="false">SUM(G51+G55+G63+G67+G71+G75+G79)</f>
        <v>702</v>
      </c>
      <c r="H47" s="194" t="n">
        <f aca="false">SUM(H51+H55+H63+H67+H71+H75+H79)</f>
        <v>437</v>
      </c>
      <c r="I47" s="194" t="n">
        <f aca="false">SUM(I51+I55+I63+I67+I71+I75+I79)</f>
        <v>665</v>
      </c>
      <c r="J47" s="194" t="n">
        <f aca="false">SUM(J51+J55+J63+J67+J71+J75+J79)</f>
        <v>661</v>
      </c>
      <c r="K47" s="194" t="n">
        <f aca="false">SUM(K51+K55+K63+K67+K71+K75+K79)</f>
        <v>668</v>
      </c>
      <c r="L47" s="194" t="n">
        <f aca="false">SUM(L51+L55+L63+L67+L71+L75+L79)</f>
        <v>711</v>
      </c>
      <c r="M47" s="194"/>
      <c r="N47" s="194"/>
      <c r="O47" s="194" t="n">
        <f aca="false">SUM(O51+O55+O63+O67+O71+O75+O79)</f>
        <v>6773</v>
      </c>
    </row>
    <row r="48" customFormat="false" ht="12.75" hidden="false" customHeight="false" outlineLevel="0" collapsed="false">
      <c r="A48" s="195" t="s">
        <v>52</v>
      </c>
      <c r="B48" s="196" t="n">
        <v>2015</v>
      </c>
      <c r="C48" s="196" t="n">
        <f aca="false">SUM(C52+C56+C60+C60+C64+C68+C72+C76+C80)</f>
        <v>836</v>
      </c>
      <c r="D48" s="196" t="n">
        <f aca="false">SUM(D52+D56+D60+D64+D68+D72+D76+D80)</f>
        <v>687</v>
      </c>
      <c r="E48" s="196" t="n">
        <f aca="false">SUM(E52+E56+E60+E64+E68+E72+E76+E80)</f>
        <v>679</v>
      </c>
      <c r="F48" s="196" t="n">
        <f aca="false">SUM(F52+F56+F60+F64+F68+F72+F76+F80)</f>
        <v>703</v>
      </c>
      <c r="G48" s="196" t="n">
        <f aca="false">SUM(G52+G56+G60+G64+G68+G72+G76+G80)</f>
        <v>667</v>
      </c>
      <c r="H48" s="196" t="n">
        <f aca="false">SUM(H52+H56+H60+H64+H68+H72+H76+H80)</f>
        <v>647</v>
      </c>
      <c r="I48" s="196" t="n">
        <f aca="false">SUM(I52+I56+I60+I64+I68+I72+I76+I80)</f>
        <v>657</v>
      </c>
      <c r="J48" s="196" t="n">
        <f aca="false">SUM(J52+J56+J60+J64+J68+J72+J76+J80)</f>
        <v>721</v>
      </c>
      <c r="K48" s="196" t="n">
        <f aca="false">SUM(K52+K56+K60+K64+K68+K72+K76+K80)</f>
        <v>639</v>
      </c>
      <c r="L48" s="196" t="n">
        <f aca="false">SUM(L52+L56+L60+L64+L68+L72+L76+L80)</f>
        <v>706</v>
      </c>
      <c r="M48" s="196"/>
      <c r="N48" s="196"/>
      <c r="O48" s="196" t="n">
        <f aca="false">SUM(C48:N48)</f>
        <v>6942</v>
      </c>
    </row>
    <row r="49" customFormat="false" ht="12.75" hidden="false" customHeight="false" outlineLevel="0" collapsed="false">
      <c r="A49" s="195" t="s">
        <v>209</v>
      </c>
      <c r="B49" s="197" t="s">
        <v>210</v>
      </c>
      <c r="C49" s="196" t="n">
        <f aca="false">C47-C48</f>
        <v>-47</v>
      </c>
      <c r="D49" s="196" t="n">
        <f aca="false">D47-D48</f>
        <v>61</v>
      </c>
      <c r="E49" s="196" t="n">
        <f aca="false">E47-E48</f>
        <v>38</v>
      </c>
      <c r="F49" s="196" t="n">
        <f aca="false">F47-F48</f>
        <v>-28</v>
      </c>
      <c r="G49" s="196" t="n">
        <f aca="false">G47-G48</f>
        <v>35</v>
      </c>
      <c r="H49" s="196" t="n">
        <f aca="false">H47-H48</f>
        <v>-210</v>
      </c>
      <c r="I49" s="196" t="n">
        <f aca="false">I47-I48</f>
        <v>8</v>
      </c>
      <c r="J49" s="196" t="n">
        <f aca="false">J47-J48</f>
        <v>-60</v>
      </c>
      <c r="K49" s="196" t="n">
        <f aca="false">K47-K48</f>
        <v>29</v>
      </c>
      <c r="L49" s="196" t="n">
        <f aca="false">L47-L48</f>
        <v>5</v>
      </c>
      <c r="M49" s="196"/>
      <c r="N49" s="196"/>
      <c r="O49" s="196" t="n">
        <f aca="false">O47-O48</f>
        <v>-169</v>
      </c>
    </row>
    <row r="50" customFormat="false" ht="13.5" hidden="false" customHeight="false" outlineLevel="0" collapsed="false">
      <c r="A50" s="199"/>
      <c r="B50" s="200" t="s">
        <v>9</v>
      </c>
      <c r="C50" s="201" t="n">
        <f aca="false">C49/C48</f>
        <v>-0.0562200956937799</v>
      </c>
      <c r="D50" s="201" t="n">
        <f aca="false">D49/D48</f>
        <v>0.0887918486171761</v>
      </c>
      <c r="E50" s="201" t="n">
        <f aca="false">E49/E48</f>
        <v>0.0559646539027982</v>
      </c>
      <c r="F50" s="201" t="n">
        <f aca="false">F49/F48</f>
        <v>-0.0398293029871977</v>
      </c>
      <c r="G50" s="201" t="n">
        <f aca="false">G49/G48</f>
        <v>0.0524737631184408</v>
      </c>
      <c r="H50" s="201" t="n">
        <f aca="false">H49/H48</f>
        <v>-0.324574961360124</v>
      </c>
      <c r="I50" s="201" t="n">
        <f aca="false">I49/I48</f>
        <v>0.0121765601217656</v>
      </c>
      <c r="J50" s="201" t="n">
        <f aca="false">J49/J48</f>
        <v>-0.0832177531206658</v>
      </c>
      <c r="K50" s="201" t="n">
        <f aca="false">K49/K48</f>
        <v>0.0453834115805947</v>
      </c>
      <c r="L50" s="201" t="n">
        <f aca="false">L49/L48</f>
        <v>0.00708215297450425</v>
      </c>
      <c r="M50" s="201"/>
      <c r="N50" s="201"/>
      <c r="O50" s="201" t="n">
        <f aca="false">O49/O48</f>
        <v>-0.0243445692883895</v>
      </c>
    </row>
    <row r="51" customFormat="false" ht="12.75" hidden="false" customHeight="false" outlineLevel="0" collapsed="false">
      <c r="A51" s="198"/>
      <c r="B51" s="194" t="n">
        <v>2016</v>
      </c>
      <c r="C51" s="194" t="n">
        <v>13</v>
      </c>
      <c r="D51" s="194" t="n">
        <v>13</v>
      </c>
      <c r="E51" s="194" t="n">
        <v>7</v>
      </c>
      <c r="F51" s="194" t="n">
        <v>15</v>
      </c>
      <c r="G51" s="194" t="n">
        <v>14</v>
      </c>
      <c r="H51" s="194" t="n">
        <v>11</v>
      </c>
      <c r="I51" s="194" t="n">
        <v>10</v>
      </c>
      <c r="J51" s="194" t="n">
        <v>15</v>
      </c>
      <c r="K51" s="194" t="n">
        <v>5</v>
      </c>
      <c r="L51" s="194" t="n">
        <v>23</v>
      </c>
      <c r="M51" s="194"/>
      <c r="N51" s="194"/>
      <c r="O51" s="194" t="n">
        <f aca="false">SUM(C51:N51)</f>
        <v>126</v>
      </c>
    </row>
    <row r="52" customFormat="false" ht="12.75" hidden="false" customHeight="false" outlineLevel="0" collapsed="false">
      <c r="A52" s="195" t="s">
        <v>211</v>
      </c>
      <c r="B52" s="196" t="n">
        <v>2015</v>
      </c>
      <c r="C52" s="196" t="n">
        <v>6</v>
      </c>
      <c r="D52" s="196" t="n">
        <v>6</v>
      </c>
      <c r="E52" s="196" t="n">
        <v>10</v>
      </c>
      <c r="F52" s="196" t="n">
        <v>12</v>
      </c>
      <c r="G52" s="196" t="n">
        <v>2</v>
      </c>
      <c r="H52" s="196" t="n">
        <v>5</v>
      </c>
      <c r="I52" s="196" t="n">
        <v>6</v>
      </c>
      <c r="J52" s="196" t="n">
        <v>13</v>
      </c>
      <c r="K52" s="196" t="n">
        <v>5</v>
      </c>
      <c r="L52" s="196" t="n">
        <v>19</v>
      </c>
      <c r="M52" s="196"/>
      <c r="N52" s="196"/>
      <c r="O52" s="196" t="n">
        <f aca="false">SUM(C52:N52)</f>
        <v>84</v>
      </c>
    </row>
    <row r="53" customFormat="false" ht="12.75" hidden="false" customHeight="false" outlineLevel="0" collapsed="false">
      <c r="A53" s="195" t="s">
        <v>212</v>
      </c>
      <c r="B53" s="202" t="s">
        <v>210</v>
      </c>
      <c r="C53" s="196" t="n">
        <f aca="false">C51-C52</f>
        <v>7</v>
      </c>
      <c r="D53" s="196" t="n">
        <f aca="false">D51-D52</f>
        <v>7</v>
      </c>
      <c r="E53" s="196" t="n">
        <f aca="false">E51-E52</f>
        <v>-3</v>
      </c>
      <c r="F53" s="196" t="n">
        <f aca="false">F51-F52</f>
        <v>3</v>
      </c>
      <c r="G53" s="196" t="n">
        <f aca="false">G51-G52</f>
        <v>12</v>
      </c>
      <c r="H53" s="196" t="n">
        <f aca="false">H51-H52</f>
        <v>6</v>
      </c>
      <c r="I53" s="196" t="n">
        <f aca="false">I51-I52</f>
        <v>4</v>
      </c>
      <c r="J53" s="196" t="n">
        <f aca="false">J51-J52</f>
        <v>2</v>
      </c>
      <c r="K53" s="196" t="n">
        <f aca="false">K51-K52</f>
        <v>0</v>
      </c>
      <c r="L53" s="196" t="n">
        <f aca="false">L51-L52</f>
        <v>4</v>
      </c>
      <c r="M53" s="196"/>
      <c r="N53" s="196"/>
      <c r="O53" s="196" t="n">
        <f aca="false">O51-O52</f>
        <v>42</v>
      </c>
    </row>
    <row r="54" customFormat="false" ht="13.5" hidden="false" customHeight="false" outlineLevel="0" collapsed="false">
      <c r="A54" s="199"/>
      <c r="B54" s="200" t="s">
        <v>9</v>
      </c>
      <c r="C54" s="201" t="n">
        <f aca="false">C53/C52</f>
        <v>1.16666666666667</v>
      </c>
      <c r="D54" s="201" t="n">
        <f aca="false">D53/D52</f>
        <v>1.16666666666667</v>
      </c>
      <c r="E54" s="201" t="n">
        <f aca="false">E53/E52</f>
        <v>-0.3</v>
      </c>
      <c r="F54" s="201" t="n">
        <f aca="false">F53/F52</f>
        <v>0.25</v>
      </c>
      <c r="G54" s="201" t="n">
        <f aca="false">G53/G52</f>
        <v>6</v>
      </c>
      <c r="H54" s="201" t="n">
        <f aca="false">H53/H52</f>
        <v>1.2</v>
      </c>
      <c r="I54" s="201" t="n">
        <f aca="false">I53/I52</f>
        <v>0.666666666666667</v>
      </c>
      <c r="J54" s="201" t="n">
        <f aca="false">J53/J52</f>
        <v>0.153846153846154</v>
      </c>
      <c r="K54" s="201" t="n">
        <f aca="false">K53/K52</f>
        <v>0</v>
      </c>
      <c r="L54" s="201" t="n">
        <f aca="false">L53/L52</f>
        <v>0.210526315789474</v>
      </c>
      <c r="M54" s="201"/>
      <c r="N54" s="201"/>
      <c r="O54" s="201" t="n">
        <f aca="false">O53/O52</f>
        <v>0.5</v>
      </c>
    </row>
    <row r="55" customFormat="false" ht="12.75" hidden="false" customHeight="false" outlineLevel="0" collapsed="false">
      <c r="A55" s="198"/>
      <c r="B55" s="194" t="n">
        <v>2016</v>
      </c>
      <c r="C55" s="204" t="n">
        <v>1</v>
      </c>
      <c r="D55" s="204" t="n">
        <v>1</v>
      </c>
      <c r="E55" s="204" t="n">
        <v>3</v>
      </c>
      <c r="F55" s="204" t="n">
        <v>0</v>
      </c>
      <c r="G55" s="204" t="n">
        <v>1</v>
      </c>
      <c r="H55" s="204" t="n">
        <v>0</v>
      </c>
      <c r="I55" s="204" t="n">
        <v>2</v>
      </c>
      <c r="J55" s="204" t="n">
        <v>2</v>
      </c>
      <c r="K55" s="204" t="n">
        <v>2</v>
      </c>
      <c r="L55" s="204" t="n">
        <v>1</v>
      </c>
      <c r="M55" s="204"/>
      <c r="N55" s="204"/>
      <c r="O55" s="194" t="n">
        <f aca="false">SUM(C55:N55)</f>
        <v>13</v>
      </c>
    </row>
    <row r="56" customFormat="false" ht="12.75" hidden="false" customHeight="false" outlineLevel="0" collapsed="false">
      <c r="A56" s="203" t="s">
        <v>213</v>
      </c>
      <c r="B56" s="196" t="n">
        <v>2015</v>
      </c>
      <c r="C56" s="196" t="n">
        <v>2</v>
      </c>
      <c r="D56" s="196" t="n">
        <v>0</v>
      </c>
      <c r="E56" s="196" t="n">
        <v>1</v>
      </c>
      <c r="F56" s="196" t="n">
        <v>3</v>
      </c>
      <c r="G56" s="196" t="n">
        <v>2</v>
      </c>
      <c r="H56" s="196" t="n">
        <v>1</v>
      </c>
      <c r="I56" s="196" t="n">
        <v>6</v>
      </c>
      <c r="J56" s="196" t="n">
        <v>1</v>
      </c>
      <c r="K56" s="196" t="n">
        <v>3</v>
      </c>
      <c r="L56" s="196" t="n">
        <v>3</v>
      </c>
      <c r="M56" s="196"/>
      <c r="N56" s="196"/>
      <c r="O56" s="196" t="n">
        <f aca="false">SUM(C56:N56)</f>
        <v>22</v>
      </c>
    </row>
    <row r="57" customFormat="false" ht="12.75" hidden="false" customHeight="false" outlineLevel="0" collapsed="false">
      <c r="A57" s="195" t="s">
        <v>214</v>
      </c>
      <c r="B57" s="202" t="s">
        <v>210</v>
      </c>
      <c r="C57" s="196" t="n">
        <f aca="false">C55-C56</f>
        <v>-1</v>
      </c>
      <c r="D57" s="196" t="n">
        <f aca="false">D55-D56</f>
        <v>1</v>
      </c>
      <c r="E57" s="196" t="n">
        <f aca="false">E55-E56</f>
        <v>2</v>
      </c>
      <c r="F57" s="196" t="n">
        <f aca="false">F55-F56</f>
        <v>-3</v>
      </c>
      <c r="G57" s="196" t="n">
        <f aca="false">G55-G56</f>
        <v>-1</v>
      </c>
      <c r="H57" s="196" t="n">
        <f aca="false">H55-H56</f>
        <v>-1</v>
      </c>
      <c r="I57" s="196" t="n">
        <f aca="false">I55-I56</f>
        <v>-4</v>
      </c>
      <c r="J57" s="196" t="n">
        <f aca="false">J55-J56</f>
        <v>1</v>
      </c>
      <c r="K57" s="196" t="n">
        <f aca="false">K55-K56</f>
        <v>-1</v>
      </c>
      <c r="L57" s="196" t="n">
        <f aca="false">L55-L56</f>
        <v>-2</v>
      </c>
      <c r="M57" s="196"/>
      <c r="N57" s="196"/>
      <c r="O57" s="196" t="n">
        <f aca="false">O55-O56</f>
        <v>-9</v>
      </c>
    </row>
    <row r="58" customFormat="false" ht="13.5" hidden="false" customHeight="false" outlineLevel="0" collapsed="false">
      <c r="A58" s="199"/>
      <c r="B58" s="200" t="s">
        <v>9</v>
      </c>
      <c r="C58" s="201" t="n">
        <f aca="false">C57/C56</f>
        <v>-0.5</v>
      </c>
      <c r="D58" s="201" t="n">
        <v>0</v>
      </c>
      <c r="E58" s="201" t="n">
        <f aca="false">E57/E56</f>
        <v>2</v>
      </c>
      <c r="F58" s="201" t="n">
        <f aca="false">F57/F56</f>
        <v>-1</v>
      </c>
      <c r="G58" s="201" t="n">
        <f aca="false">G57/G56</f>
        <v>-0.5</v>
      </c>
      <c r="H58" s="201" t="n">
        <f aca="false">H57/H56</f>
        <v>-1</v>
      </c>
      <c r="I58" s="201" t="n">
        <f aca="false">I57/I56</f>
        <v>-0.666666666666667</v>
      </c>
      <c r="J58" s="201" t="n">
        <f aca="false">J57/J56</f>
        <v>1</v>
      </c>
      <c r="K58" s="201" t="n">
        <f aca="false">K57/K56</f>
        <v>-0.333333333333333</v>
      </c>
      <c r="L58" s="201" t="n">
        <f aca="false">L57/L56</f>
        <v>-0.666666666666667</v>
      </c>
      <c r="M58" s="201"/>
      <c r="N58" s="201"/>
      <c r="O58" s="201" t="n">
        <f aca="false">O57/O56</f>
        <v>-0.409090909090909</v>
      </c>
    </row>
    <row r="59" customFormat="false" ht="12.75" hidden="false" customHeight="false" outlineLevel="0" collapsed="false">
      <c r="A59" s="198"/>
      <c r="B59" s="194" t="n">
        <v>2016</v>
      </c>
      <c r="C59" s="204" t="n">
        <v>0</v>
      </c>
      <c r="D59" s="204" t="n">
        <v>0</v>
      </c>
      <c r="E59" s="204" t="n">
        <v>0</v>
      </c>
      <c r="F59" s="204" t="n">
        <v>0</v>
      </c>
      <c r="G59" s="204" t="n">
        <v>0</v>
      </c>
      <c r="H59" s="204" t="n">
        <v>0</v>
      </c>
      <c r="I59" s="204" t="n">
        <v>0</v>
      </c>
      <c r="J59" s="204" t="n">
        <v>0</v>
      </c>
      <c r="K59" s="204" t="n">
        <v>0</v>
      </c>
      <c r="L59" s="204" t="n">
        <v>0</v>
      </c>
      <c r="M59" s="204"/>
      <c r="N59" s="204"/>
      <c r="O59" s="194" t="n">
        <f aca="false">SUM(C59:N59)</f>
        <v>0</v>
      </c>
    </row>
    <row r="60" customFormat="false" ht="12.75" hidden="false" customHeight="false" outlineLevel="0" collapsed="false">
      <c r="A60" s="203" t="s">
        <v>215</v>
      </c>
      <c r="B60" s="196" t="n">
        <v>2015</v>
      </c>
      <c r="C60" s="196" t="n">
        <v>0</v>
      </c>
      <c r="D60" s="196" t="n">
        <v>0</v>
      </c>
      <c r="E60" s="196" t="n">
        <v>0</v>
      </c>
      <c r="F60" s="196" t="n">
        <v>0</v>
      </c>
      <c r="G60" s="196" t="n">
        <v>0</v>
      </c>
      <c r="H60" s="196" t="n">
        <v>0</v>
      </c>
      <c r="I60" s="196" t="n">
        <v>0</v>
      </c>
      <c r="J60" s="196" t="n">
        <v>0</v>
      </c>
      <c r="K60" s="196" t="n">
        <v>1</v>
      </c>
      <c r="L60" s="196" t="n">
        <v>0</v>
      </c>
      <c r="M60" s="196"/>
      <c r="N60" s="196"/>
      <c r="O60" s="196" t="n">
        <f aca="false">SUM(C60:N60)</f>
        <v>1</v>
      </c>
    </row>
    <row r="61" customFormat="false" ht="12.75" hidden="false" customHeight="false" outlineLevel="0" collapsed="false">
      <c r="A61" s="203" t="s">
        <v>216</v>
      </c>
      <c r="B61" s="202" t="s">
        <v>210</v>
      </c>
      <c r="C61" s="196" t="n">
        <f aca="false">C59-C60</f>
        <v>0</v>
      </c>
      <c r="D61" s="196" t="n">
        <f aca="false">D59-D60</f>
        <v>0</v>
      </c>
      <c r="E61" s="196" t="n">
        <f aca="false">E59-E60</f>
        <v>0</v>
      </c>
      <c r="F61" s="196" t="n">
        <f aca="false">F59-F60</f>
        <v>0</v>
      </c>
      <c r="G61" s="196" t="n">
        <f aca="false">G59-G60</f>
        <v>0</v>
      </c>
      <c r="H61" s="196" t="n">
        <f aca="false">H59-H60</f>
        <v>0</v>
      </c>
      <c r="I61" s="196" t="n">
        <f aca="false">I59-I60</f>
        <v>0</v>
      </c>
      <c r="J61" s="196" t="n">
        <f aca="false">J59-J60</f>
        <v>0</v>
      </c>
      <c r="K61" s="196" t="n">
        <f aca="false">K59-K60</f>
        <v>-1</v>
      </c>
      <c r="L61" s="196" t="n">
        <f aca="false">L59-L60</f>
        <v>0</v>
      </c>
      <c r="M61" s="196"/>
      <c r="N61" s="196"/>
      <c r="O61" s="196" t="n">
        <f aca="false">O59-O60</f>
        <v>-1</v>
      </c>
    </row>
    <row r="62" customFormat="false" ht="13.5" hidden="false" customHeight="false" outlineLevel="0" collapsed="false">
      <c r="A62" s="199"/>
      <c r="B62" s="200" t="s">
        <v>9</v>
      </c>
      <c r="C62" s="201" t="n">
        <v>0</v>
      </c>
      <c r="D62" s="201" t="n">
        <v>0</v>
      </c>
      <c r="E62" s="201" t="n">
        <v>0</v>
      </c>
      <c r="F62" s="201" t="n">
        <v>0</v>
      </c>
      <c r="G62" s="201" t="n">
        <v>0</v>
      </c>
      <c r="H62" s="201" t="n">
        <v>0</v>
      </c>
      <c r="I62" s="201" t="n">
        <v>0</v>
      </c>
      <c r="J62" s="201" t="n">
        <v>0</v>
      </c>
      <c r="K62" s="201" t="n">
        <f aca="false">K61/K60</f>
        <v>-1</v>
      </c>
      <c r="L62" s="201" t="n">
        <v>0</v>
      </c>
      <c r="M62" s="201"/>
      <c r="N62" s="201"/>
      <c r="O62" s="201" t="n">
        <v>0</v>
      </c>
    </row>
    <row r="63" customFormat="false" ht="12.75" hidden="false" customHeight="false" outlineLevel="0" collapsed="false">
      <c r="A63" s="198"/>
      <c r="B63" s="194" t="n">
        <v>2016</v>
      </c>
      <c r="C63" s="204" t="n">
        <v>128</v>
      </c>
      <c r="D63" s="204" t="n">
        <v>75</v>
      </c>
      <c r="E63" s="204" t="n">
        <v>78</v>
      </c>
      <c r="F63" s="204" t="n">
        <v>53</v>
      </c>
      <c r="G63" s="204" t="n">
        <v>57</v>
      </c>
      <c r="H63" s="204" t="n">
        <v>35</v>
      </c>
      <c r="I63" s="204" t="n">
        <v>70</v>
      </c>
      <c r="J63" s="204" t="n">
        <v>56</v>
      </c>
      <c r="K63" s="204" t="n">
        <v>61</v>
      </c>
      <c r="L63" s="204" t="n">
        <v>63</v>
      </c>
      <c r="M63" s="204"/>
      <c r="N63" s="204"/>
      <c r="O63" s="194" t="n">
        <f aca="false">SUM(C63:N63)</f>
        <v>676</v>
      </c>
    </row>
    <row r="64" customFormat="false" ht="12.75" hidden="false" customHeight="false" outlineLevel="0" collapsed="false">
      <c r="A64" s="195" t="s">
        <v>217</v>
      </c>
      <c r="B64" s="196" t="n">
        <v>2015</v>
      </c>
      <c r="C64" s="196" t="n">
        <v>88</v>
      </c>
      <c r="D64" s="196" t="n">
        <v>90</v>
      </c>
      <c r="E64" s="196" t="n">
        <v>77</v>
      </c>
      <c r="F64" s="196" t="n">
        <v>96</v>
      </c>
      <c r="G64" s="196" t="n">
        <v>97</v>
      </c>
      <c r="H64" s="196" t="n">
        <v>86</v>
      </c>
      <c r="I64" s="196" t="n">
        <v>82</v>
      </c>
      <c r="J64" s="196" t="n">
        <v>89</v>
      </c>
      <c r="K64" s="196" t="n">
        <v>86</v>
      </c>
      <c r="L64" s="196" t="n">
        <v>106</v>
      </c>
      <c r="M64" s="196"/>
      <c r="N64" s="196"/>
      <c r="O64" s="196" t="n">
        <f aca="false">SUM(C64:N64)</f>
        <v>897</v>
      </c>
    </row>
    <row r="65" customFormat="false" ht="12.75" hidden="false" customHeight="false" outlineLevel="0" collapsed="false">
      <c r="A65" s="198"/>
      <c r="B65" s="202" t="s">
        <v>210</v>
      </c>
      <c r="C65" s="196" t="n">
        <f aca="false">C63-C64</f>
        <v>40</v>
      </c>
      <c r="D65" s="196" t="n">
        <f aca="false">D63-D64</f>
        <v>-15</v>
      </c>
      <c r="E65" s="196" t="n">
        <f aca="false">E63-E64</f>
        <v>1</v>
      </c>
      <c r="F65" s="196" t="n">
        <f aca="false">F63-F64</f>
        <v>-43</v>
      </c>
      <c r="G65" s="196" t="n">
        <f aca="false">G63-G64</f>
        <v>-40</v>
      </c>
      <c r="H65" s="196" t="n">
        <f aca="false">H63-H64</f>
        <v>-51</v>
      </c>
      <c r="I65" s="196" t="n">
        <f aca="false">I63-I64</f>
        <v>-12</v>
      </c>
      <c r="J65" s="196" t="n">
        <f aca="false">J63-J64</f>
        <v>-33</v>
      </c>
      <c r="K65" s="196" t="n">
        <f aca="false">K63-K64</f>
        <v>-25</v>
      </c>
      <c r="L65" s="196" t="n">
        <f aca="false">L63-L64</f>
        <v>-43</v>
      </c>
      <c r="M65" s="196"/>
      <c r="N65" s="196"/>
      <c r="O65" s="196" t="n">
        <f aca="false">O63-O64</f>
        <v>-221</v>
      </c>
    </row>
    <row r="66" customFormat="false" ht="13.5" hidden="false" customHeight="false" outlineLevel="0" collapsed="false">
      <c r="A66" s="199"/>
      <c r="B66" s="200" t="s">
        <v>9</v>
      </c>
      <c r="C66" s="201" t="n">
        <f aca="false">C65/C64</f>
        <v>0.454545454545455</v>
      </c>
      <c r="D66" s="201" t="n">
        <f aca="false">D65/D64</f>
        <v>-0.166666666666667</v>
      </c>
      <c r="E66" s="201" t="n">
        <f aca="false">E65/E64</f>
        <v>0.012987012987013</v>
      </c>
      <c r="F66" s="201" t="n">
        <f aca="false">F65/F64</f>
        <v>-0.447916666666667</v>
      </c>
      <c r="G66" s="201" t="n">
        <f aca="false">G65/G64</f>
        <v>-0.412371134020619</v>
      </c>
      <c r="H66" s="201" t="n">
        <f aca="false">H65/H64</f>
        <v>-0.593023255813954</v>
      </c>
      <c r="I66" s="201" t="n">
        <f aca="false">I65/I64</f>
        <v>-0.146341463414634</v>
      </c>
      <c r="J66" s="201" t="n">
        <f aca="false">J65/J64</f>
        <v>-0.370786516853933</v>
      </c>
      <c r="K66" s="201" t="n">
        <f aca="false">K65/K64</f>
        <v>-0.290697674418605</v>
      </c>
      <c r="L66" s="201" t="n">
        <f aca="false">L65/L64</f>
        <v>-0.405660377358491</v>
      </c>
      <c r="M66" s="201"/>
      <c r="N66" s="201"/>
      <c r="O66" s="201" t="n">
        <f aca="false">O65/O64</f>
        <v>-0.246376811594203</v>
      </c>
    </row>
    <row r="67" customFormat="false" ht="12.75" hidden="false" customHeight="false" outlineLevel="0" collapsed="false">
      <c r="A67" s="198"/>
      <c r="B67" s="194" t="n">
        <v>2016</v>
      </c>
      <c r="C67" s="204" t="n">
        <v>39</v>
      </c>
      <c r="D67" s="204" t="n">
        <v>49</v>
      </c>
      <c r="E67" s="204" t="n">
        <v>51</v>
      </c>
      <c r="F67" s="204" t="n">
        <v>46</v>
      </c>
      <c r="G67" s="204" t="n">
        <v>51</v>
      </c>
      <c r="H67" s="204" t="n">
        <v>20</v>
      </c>
      <c r="I67" s="204" t="n">
        <v>41</v>
      </c>
      <c r="J67" s="204" t="n">
        <v>42</v>
      </c>
      <c r="K67" s="204" t="n">
        <v>43</v>
      </c>
      <c r="L67" s="204" t="n">
        <v>53</v>
      </c>
      <c r="M67" s="204"/>
      <c r="N67" s="204"/>
      <c r="O67" s="194" t="n">
        <f aca="false">SUM(C67:N67)</f>
        <v>435</v>
      </c>
    </row>
    <row r="68" customFormat="false" ht="12.75" hidden="false" customHeight="false" outlineLevel="0" collapsed="false">
      <c r="A68" s="195" t="s">
        <v>218</v>
      </c>
      <c r="B68" s="196" t="n">
        <v>2015</v>
      </c>
      <c r="C68" s="196" t="n">
        <v>48</v>
      </c>
      <c r="D68" s="196" t="n">
        <v>34</v>
      </c>
      <c r="E68" s="196" t="n">
        <v>47</v>
      </c>
      <c r="F68" s="196" t="n">
        <v>36</v>
      </c>
      <c r="G68" s="196" t="n">
        <v>37</v>
      </c>
      <c r="H68" s="196" t="n">
        <v>34</v>
      </c>
      <c r="I68" s="196" t="n">
        <v>31</v>
      </c>
      <c r="J68" s="196" t="n">
        <v>51</v>
      </c>
      <c r="K68" s="196" t="n">
        <v>36</v>
      </c>
      <c r="L68" s="196" t="n">
        <v>26</v>
      </c>
      <c r="M68" s="196"/>
      <c r="N68" s="196"/>
      <c r="O68" s="196" t="n">
        <f aca="false">SUM(C68:N68)</f>
        <v>380</v>
      </c>
    </row>
    <row r="69" customFormat="false" ht="12.75" hidden="false" customHeight="false" outlineLevel="0" collapsed="false">
      <c r="A69" s="195" t="s">
        <v>219</v>
      </c>
      <c r="B69" s="202" t="s">
        <v>210</v>
      </c>
      <c r="C69" s="196" t="n">
        <f aca="false">C67-C68</f>
        <v>-9</v>
      </c>
      <c r="D69" s="196" t="n">
        <f aca="false">D67-D68</f>
        <v>15</v>
      </c>
      <c r="E69" s="196" t="n">
        <f aca="false">E67-E68</f>
        <v>4</v>
      </c>
      <c r="F69" s="196" t="n">
        <f aca="false">F67-F68</f>
        <v>10</v>
      </c>
      <c r="G69" s="196" t="n">
        <f aca="false">G67-G68</f>
        <v>14</v>
      </c>
      <c r="H69" s="196" t="n">
        <f aca="false">H67-H68</f>
        <v>-14</v>
      </c>
      <c r="I69" s="196" t="n">
        <f aca="false">I67-I68</f>
        <v>10</v>
      </c>
      <c r="J69" s="196" t="n">
        <f aca="false">J67-J68</f>
        <v>-9</v>
      </c>
      <c r="K69" s="196" t="n">
        <f aca="false">K67-K68</f>
        <v>7</v>
      </c>
      <c r="L69" s="196" t="n">
        <f aca="false">L67-L68</f>
        <v>27</v>
      </c>
      <c r="M69" s="196"/>
      <c r="N69" s="196"/>
      <c r="O69" s="196" t="n">
        <f aca="false">O67-O68</f>
        <v>55</v>
      </c>
    </row>
    <row r="70" customFormat="false" ht="13.5" hidden="false" customHeight="false" outlineLevel="0" collapsed="false">
      <c r="A70" s="199" t="s">
        <v>2</v>
      </c>
      <c r="B70" s="200" t="s">
        <v>9</v>
      </c>
      <c r="C70" s="201" t="n">
        <f aca="false">C69/C68</f>
        <v>-0.1875</v>
      </c>
      <c r="D70" s="201" t="n">
        <f aca="false">D69/D68</f>
        <v>0.441176470588235</v>
      </c>
      <c r="E70" s="201" t="n">
        <f aca="false">E69/E68</f>
        <v>0.0851063829787234</v>
      </c>
      <c r="F70" s="201" t="n">
        <f aca="false">F69/F68</f>
        <v>0.277777777777778</v>
      </c>
      <c r="G70" s="201" t="n">
        <f aca="false">G69/G68</f>
        <v>0.378378378378378</v>
      </c>
      <c r="H70" s="201" t="n">
        <f aca="false">H69/H68</f>
        <v>-0.411764705882353</v>
      </c>
      <c r="I70" s="201" t="n">
        <f aca="false">I69/I68</f>
        <v>0.32258064516129</v>
      </c>
      <c r="J70" s="201" t="n">
        <f aca="false">J69/J68</f>
        <v>-0.176470588235294</v>
      </c>
      <c r="K70" s="201" t="n">
        <f aca="false">K69/K68</f>
        <v>0.194444444444444</v>
      </c>
      <c r="L70" s="201" t="n">
        <f aca="false">L69/L68</f>
        <v>1.03846153846154</v>
      </c>
      <c r="M70" s="201"/>
      <c r="N70" s="201"/>
      <c r="O70" s="201" t="n">
        <f aca="false">O69/O68</f>
        <v>0.144736842105263</v>
      </c>
    </row>
    <row r="71" customFormat="false" ht="12.75" hidden="false" customHeight="false" outlineLevel="0" collapsed="false">
      <c r="A71" s="198"/>
      <c r="B71" s="194" t="n">
        <v>2016</v>
      </c>
      <c r="C71" s="204" t="n">
        <v>93</v>
      </c>
      <c r="D71" s="204" t="n">
        <v>118</v>
      </c>
      <c r="E71" s="204" t="n">
        <v>76</v>
      </c>
      <c r="F71" s="204" t="n">
        <v>89</v>
      </c>
      <c r="G71" s="204" t="n">
        <v>74</v>
      </c>
      <c r="H71" s="204" t="n">
        <v>53</v>
      </c>
      <c r="I71" s="204" t="n">
        <v>91</v>
      </c>
      <c r="J71" s="204" t="n">
        <v>93</v>
      </c>
      <c r="K71" s="204" t="n">
        <v>117</v>
      </c>
      <c r="L71" s="204" t="n">
        <v>88</v>
      </c>
      <c r="M71" s="204"/>
      <c r="N71" s="204"/>
      <c r="O71" s="194" t="n">
        <f aca="false">SUM(C71:N71)</f>
        <v>892</v>
      </c>
    </row>
    <row r="72" customFormat="false" ht="12.75" hidden="false" customHeight="false" outlineLevel="0" collapsed="false">
      <c r="A72" s="195" t="s">
        <v>220</v>
      </c>
      <c r="B72" s="196" t="n">
        <v>2015</v>
      </c>
      <c r="C72" s="196" t="n">
        <v>125</v>
      </c>
      <c r="D72" s="196" t="n">
        <v>94</v>
      </c>
      <c r="E72" s="196" t="n">
        <v>96</v>
      </c>
      <c r="F72" s="196" t="n">
        <v>112</v>
      </c>
      <c r="G72" s="196" t="n">
        <v>96</v>
      </c>
      <c r="H72" s="196" t="n">
        <v>111</v>
      </c>
      <c r="I72" s="196" t="n">
        <v>93</v>
      </c>
      <c r="J72" s="196" t="n">
        <v>103</v>
      </c>
      <c r="K72" s="196" t="n">
        <v>90</v>
      </c>
      <c r="L72" s="196" t="n">
        <v>107</v>
      </c>
      <c r="M72" s="196"/>
      <c r="N72" s="196"/>
      <c r="O72" s="196" t="n">
        <f aca="false">SUM(C72:N72)</f>
        <v>1027</v>
      </c>
    </row>
    <row r="73" customFormat="false" ht="12.75" hidden="false" customHeight="false" outlineLevel="0" collapsed="false">
      <c r="A73" s="198"/>
      <c r="B73" s="202" t="s">
        <v>210</v>
      </c>
      <c r="C73" s="196" t="n">
        <f aca="false">C71-C72</f>
        <v>-32</v>
      </c>
      <c r="D73" s="196" t="n">
        <f aca="false">D71-D72</f>
        <v>24</v>
      </c>
      <c r="E73" s="196" t="n">
        <f aca="false">E71-E72</f>
        <v>-20</v>
      </c>
      <c r="F73" s="196" t="n">
        <f aca="false">F71-F72</f>
        <v>-23</v>
      </c>
      <c r="G73" s="196" t="n">
        <f aca="false">G71-G72</f>
        <v>-22</v>
      </c>
      <c r="H73" s="196" t="n">
        <f aca="false">H71-H72</f>
        <v>-58</v>
      </c>
      <c r="I73" s="196" t="n">
        <f aca="false">I71-I72</f>
        <v>-2</v>
      </c>
      <c r="J73" s="196" t="n">
        <f aca="false">J71-J72</f>
        <v>-10</v>
      </c>
      <c r="K73" s="196" t="n">
        <f aca="false">K71-K72</f>
        <v>27</v>
      </c>
      <c r="L73" s="196" t="n">
        <f aca="false">L71-L72</f>
        <v>-19</v>
      </c>
      <c r="M73" s="196"/>
      <c r="N73" s="196"/>
      <c r="O73" s="196" t="n">
        <f aca="false">O71-O72</f>
        <v>-135</v>
      </c>
    </row>
    <row r="74" customFormat="false" ht="13.5" hidden="false" customHeight="false" outlineLevel="0" collapsed="false">
      <c r="A74" s="199"/>
      <c r="B74" s="200" t="s">
        <v>9</v>
      </c>
      <c r="C74" s="201" t="n">
        <f aca="false">C73/C72</f>
        <v>-0.256</v>
      </c>
      <c r="D74" s="201" t="n">
        <f aca="false">D73/D72</f>
        <v>0.25531914893617</v>
      </c>
      <c r="E74" s="201" t="n">
        <f aca="false">E73/E72</f>
        <v>-0.208333333333333</v>
      </c>
      <c r="F74" s="201" t="n">
        <f aca="false">F73/F72</f>
        <v>-0.205357142857143</v>
      </c>
      <c r="G74" s="201" t="n">
        <f aca="false">G73/G72</f>
        <v>-0.229166666666667</v>
      </c>
      <c r="H74" s="201" t="n">
        <f aca="false">H73/H72</f>
        <v>-0.522522522522523</v>
      </c>
      <c r="I74" s="201" t="n">
        <f aca="false">I73/I72</f>
        <v>-0.021505376344086</v>
      </c>
      <c r="J74" s="201" t="n">
        <f aca="false">J73/J72</f>
        <v>-0.0970873786407767</v>
      </c>
      <c r="K74" s="201" t="n">
        <f aca="false">K73/K72</f>
        <v>0.3</v>
      </c>
      <c r="L74" s="201" t="n">
        <f aca="false">L73/L72</f>
        <v>-0.177570093457944</v>
      </c>
      <c r="M74" s="201"/>
      <c r="N74" s="201"/>
      <c r="O74" s="201" t="n">
        <f aca="false">O73/O72</f>
        <v>-0.131450827653359</v>
      </c>
    </row>
    <row r="75" customFormat="false" ht="12.75" hidden="false" customHeight="false" outlineLevel="0" collapsed="false">
      <c r="A75" s="198"/>
      <c r="B75" s="194" t="n">
        <v>2016</v>
      </c>
      <c r="C75" s="204" t="n">
        <v>442</v>
      </c>
      <c r="D75" s="204" t="n">
        <v>427</v>
      </c>
      <c r="E75" s="204" t="n">
        <v>416</v>
      </c>
      <c r="F75" s="204" t="n">
        <v>397</v>
      </c>
      <c r="G75" s="204" t="n">
        <v>416</v>
      </c>
      <c r="H75" s="204" t="n">
        <v>254</v>
      </c>
      <c r="I75" s="204" t="n">
        <v>356</v>
      </c>
      <c r="J75" s="204" t="n">
        <v>368</v>
      </c>
      <c r="K75" s="204" t="n">
        <v>379</v>
      </c>
      <c r="L75" s="204" t="n">
        <v>403</v>
      </c>
      <c r="M75" s="204"/>
      <c r="N75" s="204"/>
      <c r="O75" s="194" t="n">
        <f aca="false">SUM(C75:N75)</f>
        <v>3858</v>
      </c>
    </row>
    <row r="76" customFormat="false" ht="12.75" hidden="false" customHeight="false" outlineLevel="0" collapsed="false">
      <c r="A76" s="195" t="s">
        <v>221</v>
      </c>
      <c r="B76" s="196" t="n">
        <v>2015</v>
      </c>
      <c r="C76" s="196" t="n">
        <v>471</v>
      </c>
      <c r="D76" s="196" t="n">
        <v>364</v>
      </c>
      <c r="E76" s="196" t="n">
        <v>372</v>
      </c>
      <c r="F76" s="196" t="n">
        <v>364</v>
      </c>
      <c r="G76" s="196" t="n">
        <v>353</v>
      </c>
      <c r="H76" s="196" t="n">
        <v>326</v>
      </c>
      <c r="I76" s="196" t="n">
        <v>369</v>
      </c>
      <c r="J76" s="196" t="n">
        <v>384</v>
      </c>
      <c r="K76" s="196" t="n">
        <v>327</v>
      </c>
      <c r="L76" s="196" t="n">
        <v>377</v>
      </c>
      <c r="M76" s="196"/>
      <c r="N76" s="196"/>
      <c r="O76" s="196" t="n">
        <f aca="false">SUM(C76:N76)</f>
        <v>3707</v>
      </c>
    </row>
    <row r="77" customFormat="false" ht="12.75" hidden="false" customHeight="false" outlineLevel="0" collapsed="false">
      <c r="A77" s="195" t="s">
        <v>222</v>
      </c>
      <c r="B77" s="202" t="s">
        <v>210</v>
      </c>
      <c r="C77" s="196" t="n">
        <f aca="false">C75-C76</f>
        <v>-29</v>
      </c>
      <c r="D77" s="196" t="n">
        <f aca="false">D75-D76</f>
        <v>63</v>
      </c>
      <c r="E77" s="196" t="n">
        <f aca="false">E75-E76</f>
        <v>44</v>
      </c>
      <c r="F77" s="196" t="n">
        <f aca="false">F75-F76</f>
        <v>33</v>
      </c>
      <c r="G77" s="196" t="n">
        <f aca="false">G75-G76</f>
        <v>63</v>
      </c>
      <c r="H77" s="196" t="n">
        <f aca="false">H75-H76</f>
        <v>-72</v>
      </c>
      <c r="I77" s="196" t="n">
        <f aca="false">I75-I76</f>
        <v>-13</v>
      </c>
      <c r="J77" s="196" t="n">
        <f aca="false">J75-J76</f>
        <v>-16</v>
      </c>
      <c r="K77" s="196" t="n">
        <f aca="false">K75-K76</f>
        <v>52</v>
      </c>
      <c r="L77" s="196" t="n">
        <f aca="false">L75-L76</f>
        <v>26</v>
      </c>
      <c r="M77" s="196"/>
      <c r="N77" s="196"/>
      <c r="O77" s="196" t="n">
        <f aca="false">O75-O76</f>
        <v>151</v>
      </c>
    </row>
    <row r="78" customFormat="false" ht="13.5" hidden="false" customHeight="false" outlineLevel="0" collapsed="false">
      <c r="A78" s="199"/>
      <c r="B78" s="200" t="s">
        <v>9</v>
      </c>
      <c r="C78" s="201" t="n">
        <f aca="false">C77/C76</f>
        <v>-0.0615711252653928</v>
      </c>
      <c r="D78" s="201" t="n">
        <f aca="false">D77/D76</f>
        <v>0.173076923076923</v>
      </c>
      <c r="E78" s="201" t="n">
        <f aca="false">E77/E76</f>
        <v>0.118279569892473</v>
      </c>
      <c r="F78" s="201" t="n">
        <f aca="false">F77/F76</f>
        <v>0.0906593406593407</v>
      </c>
      <c r="G78" s="201" t="n">
        <f aca="false">G77/G76</f>
        <v>0.178470254957507</v>
      </c>
      <c r="H78" s="201" t="n">
        <f aca="false">H77/H76</f>
        <v>-0.220858895705521</v>
      </c>
      <c r="I78" s="201" t="n">
        <f aca="false">I77/I76</f>
        <v>-0.035230352303523</v>
      </c>
      <c r="J78" s="201" t="n">
        <f aca="false">J77/J76</f>
        <v>-0.0416666666666667</v>
      </c>
      <c r="K78" s="201" t="n">
        <f aca="false">K77/K76</f>
        <v>0.159021406727829</v>
      </c>
      <c r="L78" s="201" t="n">
        <f aca="false">L77/L76</f>
        <v>0.0689655172413793</v>
      </c>
      <c r="M78" s="201"/>
      <c r="N78" s="201"/>
      <c r="O78" s="201" t="n">
        <f aca="false">O77/O76</f>
        <v>0.040733746965201</v>
      </c>
    </row>
    <row r="79" customFormat="false" ht="12.75" hidden="false" customHeight="false" outlineLevel="0" collapsed="false">
      <c r="A79" s="198"/>
      <c r="B79" s="194" t="n">
        <v>2016</v>
      </c>
      <c r="C79" s="204" t="n">
        <v>73</v>
      </c>
      <c r="D79" s="204" t="n">
        <v>65</v>
      </c>
      <c r="E79" s="204" t="n">
        <v>86</v>
      </c>
      <c r="F79" s="204" t="n">
        <v>75</v>
      </c>
      <c r="G79" s="204" t="n">
        <v>89</v>
      </c>
      <c r="H79" s="204" t="n">
        <v>64</v>
      </c>
      <c r="I79" s="204" t="n">
        <v>95</v>
      </c>
      <c r="J79" s="204" t="n">
        <v>85</v>
      </c>
      <c r="K79" s="204" t="n">
        <v>61</v>
      </c>
      <c r="L79" s="204" t="n">
        <v>80</v>
      </c>
      <c r="M79" s="204"/>
      <c r="N79" s="204"/>
      <c r="O79" s="194" t="n">
        <f aca="false">SUM(C79:N79)</f>
        <v>773</v>
      </c>
    </row>
    <row r="80" customFormat="false" ht="12.75" hidden="false" customHeight="false" outlineLevel="0" collapsed="false">
      <c r="A80" s="195" t="s">
        <v>223</v>
      </c>
      <c r="B80" s="196" t="n">
        <v>2015</v>
      </c>
      <c r="C80" s="196" t="n">
        <v>96</v>
      </c>
      <c r="D80" s="196" t="n">
        <v>99</v>
      </c>
      <c r="E80" s="196" t="n">
        <v>76</v>
      </c>
      <c r="F80" s="196" t="n">
        <v>80</v>
      </c>
      <c r="G80" s="196" t="n">
        <v>80</v>
      </c>
      <c r="H80" s="196" t="n">
        <v>84</v>
      </c>
      <c r="I80" s="196" t="n">
        <v>70</v>
      </c>
      <c r="J80" s="196" t="n">
        <v>80</v>
      </c>
      <c r="K80" s="196" t="n">
        <v>91</v>
      </c>
      <c r="L80" s="196" t="n">
        <v>68</v>
      </c>
      <c r="M80" s="196"/>
      <c r="N80" s="196"/>
      <c r="O80" s="196" t="n">
        <f aca="false">SUM(C80:N80)</f>
        <v>824</v>
      </c>
    </row>
    <row r="81" customFormat="false" ht="12.75" hidden="false" customHeight="false" outlineLevel="0" collapsed="false">
      <c r="A81" s="195" t="s">
        <v>224</v>
      </c>
      <c r="B81" s="202" t="s">
        <v>210</v>
      </c>
      <c r="C81" s="196" t="n">
        <f aca="false">C79-C80</f>
        <v>-23</v>
      </c>
      <c r="D81" s="196" t="n">
        <f aca="false">D79-D80</f>
        <v>-34</v>
      </c>
      <c r="E81" s="196" t="n">
        <f aca="false">E79-E80</f>
        <v>10</v>
      </c>
      <c r="F81" s="196" t="n">
        <f aca="false">F79-F80</f>
        <v>-5</v>
      </c>
      <c r="G81" s="196" t="n">
        <f aca="false">G79-G80</f>
        <v>9</v>
      </c>
      <c r="H81" s="196" t="n">
        <f aca="false">H79-H80</f>
        <v>-20</v>
      </c>
      <c r="I81" s="196" t="n">
        <f aca="false">I79-I80</f>
        <v>25</v>
      </c>
      <c r="J81" s="196" t="n">
        <f aca="false">J79-J80</f>
        <v>5</v>
      </c>
      <c r="K81" s="196" t="n">
        <f aca="false">K79-K80</f>
        <v>-30</v>
      </c>
      <c r="L81" s="196" t="n">
        <f aca="false">L79-L80</f>
        <v>12</v>
      </c>
      <c r="M81" s="196"/>
      <c r="N81" s="196"/>
      <c r="O81" s="196" t="n">
        <f aca="false">O79-O80</f>
        <v>-51</v>
      </c>
    </row>
    <row r="82" customFormat="false" ht="13.5" hidden="false" customHeight="false" outlineLevel="0" collapsed="false">
      <c r="A82" s="199"/>
      <c r="B82" s="200" t="s">
        <v>9</v>
      </c>
      <c r="C82" s="201" t="n">
        <f aca="false">C81/C80</f>
        <v>-0.239583333333333</v>
      </c>
      <c r="D82" s="201" t="n">
        <f aca="false">D81/D80</f>
        <v>-0.343434343434343</v>
      </c>
      <c r="E82" s="201" t="n">
        <f aca="false">E81/E80</f>
        <v>0.131578947368421</v>
      </c>
      <c r="F82" s="201" t="n">
        <f aca="false">F81/F80</f>
        <v>-0.0625</v>
      </c>
      <c r="G82" s="201" t="n">
        <f aca="false">G81/G80</f>
        <v>0.1125</v>
      </c>
      <c r="H82" s="201" t="n">
        <f aca="false">H81/H80</f>
        <v>-0.238095238095238</v>
      </c>
      <c r="I82" s="201" t="n">
        <f aca="false">I81/I80</f>
        <v>0.357142857142857</v>
      </c>
      <c r="J82" s="201" t="n">
        <f aca="false">J81/J80</f>
        <v>0.0625</v>
      </c>
      <c r="K82" s="201" t="n">
        <f aca="false">K81/K80</f>
        <v>-0.32967032967033</v>
      </c>
      <c r="L82" s="201" t="n">
        <f aca="false">L81/L80</f>
        <v>0.176470588235294</v>
      </c>
      <c r="M82" s="201"/>
      <c r="N82" s="201"/>
      <c r="O82" s="201" t="n">
        <f aca="false">O81/O80</f>
        <v>-0.0618932038834951</v>
      </c>
    </row>
    <row r="85" customFormat="false" ht="13.5" hidden="false" customHeight="false" outlineLevel="0" collapsed="false">
      <c r="A85" s="210" t="s">
        <v>81</v>
      </c>
      <c r="B85" s="209"/>
      <c r="C85" s="209"/>
    </row>
    <row r="86" customFormat="false" ht="13.5" hidden="false" customHeight="false" outlineLevel="0" collapsed="false">
      <c r="A86" s="0" t="s">
        <v>2</v>
      </c>
      <c r="B86" s="192" t="s">
        <v>196</v>
      </c>
      <c r="C86" s="192" t="s">
        <v>197</v>
      </c>
      <c r="D86" s="192" t="s">
        <v>198</v>
      </c>
      <c r="E86" s="192" t="s">
        <v>199</v>
      </c>
      <c r="F86" s="192" t="s">
        <v>200</v>
      </c>
      <c r="G86" s="192" t="s">
        <v>201</v>
      </c>
      <c r="H86" s="192" t="s">
        <v>202</v>
      </c>
      <c r="I86" s="192" t="s">
        <v>203</v>
      </c>
      <c r="J86" s="192" t="s">
        <v>204</v>
      </c>
      <c r="K86" s="192" t="s">
        <v>205</v>
      </c>
      <c r="L86" s="192" t="s">
        <v>206</v>
      </c>
      <c r="M86" s="192" t="s">
        <v>207</v>
      </c>
      <c r="N86" s="192" t="s">
        <v>208</v>
      </c>
      <c r="O86" s="192" t="s">
        <v>52</v>
      </c>
    </row>
    <row r="87" customFormat="false" ht="12.75" hidden="false" customHeight="false" outlineLevel="0" collapsed="false">
      <c r="A87" s="193"/>
      <c r="B87" s="194" t="n">
        <v>2016</v>
      </c>
      <c r="C87" s="194" t="n">
        <f aca="false">SUM(C91+C95+C103+C107+C111+C115+C119)</f>
        <v>341</v>
      </c>
      <c r="D87" s="194" t="n">
        <f aca="false">SUM(D91+D95+D103+D107+D111+D115+D119)</f>
        <v>270</v>
      </c>
      <c r="E87" s="194" t="n">
        <f aca="false">SUM(E91+E95+E103+E107+E111+E115+E119)</f>
        <v>290</v>
      </c>
      <c r="F87" s="194" t="n">
        <f aca="false">SUM(F91+F95+F103+F107+F111+F115+F119)</f>
        <v>260</v>
      </c>
      <c r="G87" s="194" t="n">
        <f aca="false">SUM(G91+G95+G103+G107+G111+G115+G119)</f>
        <v>320</v>
      </c>
      <c r="H87" s="194" t="n">
        <f aca="false">SUM(H91+H95+H103+H107+H111+H115+H119)</f>
        <v>284</v>
      </c>
      <c r="I87" s="194" t="n">
        <f aca="false">SUM(I91,I95,I99,I103,I107,I111,I115,I119)</f>
        <v>274</v>
      </c>
      <c r="J87" s="194" t="n">
        <f aca="false">SUM(J91+J95+J103+J107+J111+J115+J119)</f>
        <v>273</v>
      </c>
      <c r="K87" s="194" t="n">
        <f aca="false">SUM(K91+K95+K103+K107+K111+K115+K119)</f>
        <v>291</v>
      </c>
      <c r="L87" s="194" t="n">
        <f aca="false">SUM(L91+L95+L103+L107+L111+L115+L119)</f>
        <v>272</v>
      </c>
      <c r="M87" s="194"/>
      <c r="N87" s="194"/>
      <c r="O87" s="194" t="n">
        <f aca="false">SUM(O91+O95+O103+O107+O111+O115+O119)</f>
        <v>2875</v>
      </c>
    </row>
    <row r="88" customFormat="false" ht="12.75" hidden="false" customHeight="false" outlineLevel="0" collapsed="false">
      <c r="A88" s="195" t="s">
        <v>52</v>
      </c>
      <c r="B88" s="196" t="n">
        <v>2015</v>
      </c>
      <c r="C88" s="196" t="n">
        <f aca="false">SUM(C92+C96+C100+C104+C108+C112+C116+C120)</f>
        <v>329</v>
      </c>
      <c r="D88" s="196" t="n">
        <f aca="false">SUM(D92+D96+D100+D104+D108+D112+D116+D120)</f>
        <v>294</v>
      </c>
      <c r="E88" s="196" t="n">
        <f aca="false">SUM(E92+E96+E100+E104+E108+E112+E116+E120)</f>
        <v>295</v>
      </c>
      <c r="F88" s="196" t="n">
        <f aca="false">SUM(F92+F96+F100+F104+F108+F112+F116+F120)</f>
        <v>319</v>
      </c>
      <c r="G88" s="196" t="n">
        <f aca="false">SUM(G92+G96+G100+G104+G108+G112+G116+G120)</f>
        <v>397</v>
      </c>
      <c r="H88" s="196" t="n">
        <f aca="false">SUM(H92+H96+H100+H104+H108+H112+H116+H120)</f>
        <v>349</v>
      </c>
      <c r="I88" s="196" t="n">
        <f aca="false">SUM(I92+I96+I100+I104+I108+I112+I116+I120)</f>
        <v>338</v>
      </c>
      <c r="J88" s="196" t="n">
        <f aca="false">SUM(J92+J96+J100+J104+J108+J112+J116+J120)</f>
        <v>343</v>
      </c>
      <c r="K88" s="196" t="n">
        <f aca="false">SUM(K92+K96+K100+K104+K108+K112+K116+K120)</f>
        <v>309</v>
      </c>
      <c r="L88" s="196" t="n">
        <f aca="false">SUM(L92+L96+L100+L104+L108+L112+L116+L120)</f>
        <v>395</v>
      </c>
      <c r="M88" s="196"/>
      <c r="N88" s="196"/>
      <c r="O88" s="196" t="n">
        <f aca="false">SUM(C88:N88)</f>
        <v>3368</v>
      </c>
    </row>
    <row r="89" customFormat="false" ht="12.75" hidden="false" customHeight="false" outlineLevel="0" collapsed="false">
      <c r="A89" s="195" t="s">
        <v>209</v>
      </c>
      <c r="B89" s="197" t="s">
        <v>210</v>
      </c>
      <c r="C89" s="196" t="n">
        <f aca="false">C87-C88</f>
        <v>12</v>
      </c>
      <c r="D89" s="196" t="n">
        <f aca="false">D87-D88</f>
        <v>-24</v>
      </c>
      <c r="E89" s="196" t="n">
        <f aca="false">E87-E88</f>
        <v>-5</v>
      </c>
      <c r="F89" s="196" t="n">
        <f aca="false">F87-F88</f>
        <v>-59</v>
      </c>
      <c r="G89" s="196" t="n">
        <f aca="false">G87-G88</f>
        <v>-77</v>
      </c>
      <c r="H89" s="196" t="n">
        <f aca="false">H87-H88</f>
        <v>-65</v>
      </c>
      <c r="I89" s="196" t="n">
        <f aca="false">I87-I88</f>
        <v>-64</v>
      </c>
      <c r="J89" s="196" t="n">
        <f aca="false">J87-J88</f>
        <v>-70</v>
      </c>
      <c r="K89" s="196" t="n">
        <f aca="false">K87-K88</f>
        <v>-18</v>
      </c>
      <c r="L89" s="196" t="n">
        <f aca="false">L87-L88</f>
        <v>-123</v>
      </c>
      <c r="M89" s="196"/>
      <c r="N89" s="196"/>
      <c r="O89" s="196" t="n">
        <f aca="false">O87-O88</f>
        <v>-493</v>
      </c>
    </row>
    <row r="90" customFormat="false" ht="13.5" hidden="false" customHeight="false" outlineLevel="0" collapsed="false">
      <c r="A90" s="199"/>
      <c r="B90" s="200" t="s">
        <v>9</v>
      </c>
      <c r="C90" s="201" t="n">
        <f aca="false">C89/C88</f>
        <v>0.0364741641337386</v>
      </c>
      <c r="D90" s="201" t="n">
        <f aca="false">D89/D88</f>
        <v>-0.0816326530612245</v>
      </c>
      <c r="E90" s="201" t="n">
        <f aca="false">E89/E88</f>
        <v>-0.0169491525423729</v>
      </c>
      <c r="F90" s="201" t="n">
        <f aca="false">F89/F88</f>
        <v>-0.184952978056426</v>
      </c>
      <c r="G90" s="201" t="n">
        <f aca="false">G89/G88</f>
        <v>-0.193954659949622</v>
      </c>
      <c r="H90" s="201" t="n">
        <f aca="false">H89/H88</f>
        <v>-0.186246418338109</v>
      </c>
      <c r="I90" s="201" t="n">
        <f aca="false">I89/I88</f>
        <v>-0.189349112426036</v>
      </c>
      <c r="J90" s="201" t="n">
        <f aca="false">J89/J88</f>
        <v>-0.204081632653061</v>
      </c>
      <c r="K90" s="201" t="n">
        <f aca="false">K89/K88</f>
        <v>-0.058252427184466</v>
      </c>
      <c r="L90" s="201" t="n">
        <f aca="false">L89/L88</f>
        <v>-0.311392405063291</v>
      </c>
      <c r="M90" s="201"/>
      <c r="N90" s="201"/>
      <c r="O90" s="201" t="n">
        <f aca="false">O89/O88</f>
        <v>-0.146377672209026</v>
      </c>
    </row>
    <row r="91" customFormat="false" ht="12.75" hidden="false" customHeight="false" outlineLevel="0" collapsed="false">
      <c r="A91" s="198"/>
      <c r="B91" s="194" t="n">
        <v>2016</v>
      </c>
      <c r="C91" s="194" t="n">
        <v>4</v>
      </c>
      <c r="D91" s="194" t="n">
        <v>0</v>
      </c>
      <c r="E91" s="194" t="n">
        <v>4</v>
      </c>
      <c r="F91" s="194" t="n">
        <v>2</v>
      </c>
      <c r="G91" s="194" t="n">
        <v>2</v>
      </c>
      <c r="H91" s="194" t="n">
        <v>4</v>
      </c>
      <c r="I91" s="194" t="n">
        <v>3</v>
      </c>
      <c r="J91" s="194" t="n">
        <v>3</v>
      </c>
      <c r="K91" s="194" t="n">
        <v>0</v>
      </c>
      <c r="L91" s="194" t="n">
        <v>2</v>
      </c>
      <c r="M91" s="194"/>
      <c r="N91" s="194"/>
      <c r="O91" s="194" t="n">
        <f aca="false">SUM(C91:N91)</f>
        <v>24</v>
      </c>
    </row>
    <row r="92" customFormat="false" ht="12.75" hidden="false" customHeight="false" outlineLevel="0" collapsed="false">
      <c r="A92" s="195" t="s">
        <v>211</v>
      </c>
      <c r="B92" s="196" t="n">
        <v>2015</v>
      </c>
      <c r="C92" s="196" t="n">
        <v>2</v>
      </c>
      <c r="D92" s="196" t="n">
        <v>3</v>
      </c>
      <c r="E92" s="196" t="n">
        <v>1</v>
      </c>
      <c r="F92" s="196" t="n">
        <v>4</v>
      </c>
      <c r="G92" s="196" t="n">
        <v>0</v>
      </c>
      <c r="H92" s="196" t="n">
        <v>2</v>
      </c>
      <c r="I92" s="196" t="n">
        <v>2</v>
      </c>
      <c r="J92" s="196" t="n">
        <v>0</v>
      </c>
      <c r="K92" s="196" t="n">
        <v>2</v>
      </c>
      <c r="L92" s="196" t="n">
        <v>2</v>
      </c>
      <c r="M92" s="196"/>
      <c r="N92" s="196"/>
      <c r="O92" s="196" t="n">
        <f aca="false">SUM(C92:N92)</f>
        <v>18</v>
      </c>
    </row>
    <row r="93" customFormat="false" ht="12.75" hidden="false" customHeight="false" outlineLevel="0" collapsed="false">
      <c r="A93" s="195" t="s">
        <v>212</v>
      </c>
      <c r="B93" s="202" t="s">
        <v>210</v>
      </c>
      <c r="C93" s="196" t="n">
        <f aca="false">C91-C92</f>
        <v>2</v>
      </c>
      <c r="D93" s="196" t="n">
        <f aca="false">D91-D92</f>
        <v>-3</v>
      </c>
      <c r="E93" s="196" t="n">
        <f aca="false">E91-E92</f>
        <v>3</v>
      </c>
      <c r="F93" s="196" t="n">
        <f aca="false">F91-F92</f>
        <v>-2</v>
      </c>
      <c r="G93" s="196" t="n">
        <f aca="false">G91-G92</f>
        <v>2</v>
      </c>
      <c r="H93" s="196" t="n">
        <f aca="false">H91-H92</f>
        <v>2</v>
      </c>
      <c r="I93" s="196" t="n">
        <f aca="false">I91-I92</f>
        <v>1</v>
      </c>
      <c r="J93" s="196" t="n">
        <f aca="false">J91-J92</f>
        <v>3</v>
      </c>
      <c r="K93" s="196" t="n">
        <f aca="false">K91-K92</f>
        <v>-2</v>
      </c>
      <c r="L93" s="196" t="n">
        <f aca="false">L91-L92</f>
        <v>0</v>
      </c>
      <c r="M93" s="196"/>
      <c r="N93" s="196"/>
      <c r="O93" s="196" t="n">
        <f aca="false">O91-O92</f>
        <v>6</v>
      </c>
    </row>
    <row r="94" customFormat="false" ht="13.5" hidden="false" customHeight="false" outlineLevel="0" collapsed="false">
      <c r="A94" s="199"/>
      <c r="B94" s="200" t="s">
        <v>9</v>
      </c>
      <c r="C94" s="201" t="n">
        <f aca="false">C93/C92</f>
        <v>1</v>
      </c>
      <c r="D94" s="201" t="n">
        <f aca="false">D93/D92</f>
        <v>-1</v>
      </c>
      <c r="E94" s="201" t="n">
        <f aca="false">E93/E92</f>
        <v>3</v>
      </c>
      <c r="F94" s="201" t="n">
        <f aca="false">F93/F92</f>
        <v>-0.5</v>
      </c>
      <c r="G94" s="201" t="n">
        <v>0</v>
      </c>
      <c r="H94" s="201" t="n">
        <f aca="false">H93/H92</f>
        <v>1</v>
      </c>
      <c r="I94" s="201" t="n">
        <f aca="false">I93/I92</f>
        <v>0.5</v>
      </c>
      <c r="J94" s="201" t="n">
        <v>0</v>
      </c>
      <c r="K94" s="201" t="n">
        <f aca="false">K93/K92</f>
        <v>-1</v>
      </c>
      <c r="L94" s="201" t="n">
        <f aca="false">L93/L92</f>
        <v>0</v>
      </c>
      <c r="M94" s="201"/>
      <c r="N94" s="201"/>
      <c r="O94" s="201" t="n">
        <f aca="false">O93/O92</f>
        <v>0.333333333333333</v>
      </c>
    </row>
    <row r="95" customFormat="false" ht="12.75" hidden="false" customHeight="false" outlineLevel="0" collapsed="false">
      <c r="A95" s="198"/>
      <c r="B95" s="194" t="n">
        <v>2016</v>
      </c>
      <c r="C95" s="204" t="n">
        <v>2</v>
      </c>
      <c r="D95" s="204" t="n">
        <v>0</v>
      </c>
      <c r="E95" s="204" t="n">
        <v>1</v>
      </c>
      <c r="F95" s="204" t="n">
        <v>0</v>
      </c>
      <c r="G95" s="204" t="n">
        <v>1</v>
      </c>
      <c r="H95" s="204" t="n">
        <v>0</v>
      </c>
      <c r="I95" s="204" t="n">
        <v>0</v>
      </c>
      <c r="J95" s="204" t="n">
        <v>0</v>
      </c>
      <c r="K95" s="204" t="n">
        <v>1</v>
      </c>
      <c r="L95" s="204" t="n">
        <v>0</v>
      </c>
      <c r="M95" s="204"/>
      <c r="N95" s="204"/>
      <c r="O95" s="194" t="n">
        <f aca="false">SUM(C95:N95)</f>
        <v>5</v>
      </c>
    </row>
    <row r="96" customFormat="false" ht="12.75" hidden="false" customHeight="false" outlineLevel="0" collapsed="false">
      <c r="A96" s="203" t="s">
        <v>213</v>
      </c>
      <c r="B96" s="196" t="n">
        <v>2015</v>
      </c>
      <c r="C96" s="196" t="n">
        <v>2</v>
      </c>
      <c r="D96" s="196" t="n">
        <v>1</v>
      </c>
      <c r="E96" s="196" t="n">
        <v>0</v>
      </c>
      <c r="F96" s="196" t="n">
        <v>0</v>
      </c>
      <c r="G96" s="196" t="n">
        <v>1</v>
      </c>
      <c r="H96" s="196" t="n">
        <v>1</v>
      </c>
      <c r="I96" s="196" t="n">
        <v>1</v>
      </c>
      <c r="J96" s="196" t="n">
        <v>0</v>
      </c>
      <c r="K96" s="196" t="n">
        <v>0</v>
      </c>
      <c r="L96" s="196" t="n">
        <v>3</v>
      </c>
      <c r="M96" s="196"/>
      <c r="N96" s="196"/>
      <c r="O96" s="196" t="n">
        <f aca="false">SUM(C96:N96)</f>
        <v>9</v>
      </c>
    </row>
    <row r="97" customFormat="false" ht="12.75" hidden="false" customHeight="false" outlineLevel="0" collapsed="false">
      <c r="A97" s="195" t="s">
        <v>214</v>
      </c>
      <c r="B97" s="202" t="s">
        <v>210</v>
      </c>
      <c r="C97" s="196" t="n">
        <f aca="false">C95-C96</f>
        <v>0</v>
      </c>
      <c r="D97" s="196" t="n">
        <f aca="false">D95-D96</f>
        <v>-1</v>
      </c>
      <c r="E97" s="196" t="n">
        <f aca="false">E95-E96</f>
        <v>1</v>
      </c>
      <c r="F97" s="196" t="n">
        <f aca="false">F95-F96</f>
        <v>0</v>
      </c>
      <c r="G97" s="196" t="n">
        <f aca="false">G95-G96</f>
        <v>0</v>
      </c>
      <c r="H97" s="196" t="n">
        <f aca="false">H95-H96</f>
        <v>-1</v>
      </c>
      <c r="I97" s="196" t="n">
        <f aca="false">I95-I96</f>
        <v>-1</v>
      </c>
      <c r="J97" s="196" t="n">
        <f aca="false">J95-J96</f>
        <v>0</v>
      </c>
      <c r="K97" s="196" t="n">
        <f aca="false">K95-K96</f>
        <v>1</v>
      </c>
      <c r="L97" s="196" t="n">
        <f aca="false">L95-L96</f>
        <v>-3</v>
      </c>
      <c r="M97" s="196"/>
      <c r="N97" s="196"/>
      <c r="O97" s="196" t="n">
        <f aca="false">O95-O96</f>
        <v>-4</v>
      </c>
    </row>
    <row r="98" customFormat="false" ht="13.5" hidden="false" customHeight="false" outlineLevel="0" collapsed="false">
      <c r="A98" s="199"/>
      <c r="B98" s="200" t="s">
        <v>9</v>
      </c>
      <c r="C98" s="201" t="n">
        <f aca="false">C97/C96</f>
        <v>0</v>
      </c>
      <c r="D98" s="201" t="n">
        <f aca="false">D97/D96</f>
        <v>-1</v>
      </c>
      <c r="E98" s="201" t="n">
        <v>0</v>
      </c>
      <c r="F98" s="201" t="n">
        <v>0</v>
      </c>
      <c r="G98" s="201" t="n">
        <f aca="false">G97/G96</f>
        <v>0</v>
      </c>
      <c r="H98" s="201" t="n">
        <f aca="false">H97/H96</f>
        <v>-1</v>
      </c>
      <c r="I98" s="201" t="n">
        <f aca="false">I97/I96</f>
        <v>-1</v>
      </c>
      <c r="J98" s="201" t="n">
        <v>0</v>
      </c>
      <c r="K98" s="201" t="n">
        <v>0</v>
      </c>
      <c r="L98" s="201" t="n">
        <f aca="false">L97/L96</f>
        <v>-1</v>
      </c>
      <c r="M98" s="201"/>
      <c r="N98" s="201"/>
      <c r="O98" s="201" t="n">
        <f aca="false">O97/O96</f>
        <v>-0.444444444444444</v>
      </c>
    </row>
    <row r="99" customFormat="false" ht="12.75" hidden="false" customHeight="false" outlineLevel="0" collapsed="false">
      <c r="A99" s="198"/>
      <c r="B99" s="194" t="n">
        <v>2016</v>
      </c>
      <c r="C99" s="204" t="n">
        <v>0</v>
      </c>
      <c r="D99" s="204" t="n">
        <v>0</v>
      </c>
      <c r="E99" s="204" t="n">
        <v>0</v>
      </c>
      <c r="F99" s="204" t="n">
        <v>0</v>
      </c>
      <c r="G99" s="204" t="n">
        <v>0</v>
      </c>
      <c r="H99" s="204" t="n">
        <v>0</v>
      </c>
      <c r="I99" s="204" t="n">
        <v>0</v>
      </c>
      <c r="J99" s="204" t="n">
        <v>0</v>
      </c>
      <c r="K99" s="204" t="n">
        <v>0</v>
      </c>
      <c r="L99" s="204" t="n">
        <v>0</v>
      </c>
      <c r="M99" s="204"/>
      <c r="N99" s="204"/>
      <c r="O99" s="194" t="n">
        <f aca="false">SUM(C99:N99)</f>
        <v>0</v>
      </c>
    </row>
    <row r="100" customFormat="false" ht="12.75" hidden="false" customHeight="false" outlineLevel="0" collapsed="false">
      <c r="A100" s="203" t="s">
        <v>215</v>
      </c>
      <c r="B100" s="196" t="n">
        <v>2015</v>
      </c>
      <c r="C100" s="196" t="n">
        <v>0</v>
      </c>
      <c r="D100" s="196" t="n">
        <v>0</v>
      </c>
      <c r="E100" s="196" t="n">
        <v>0</v>
      </c>
      <c r="F100" s="196" t="n">
        <v>0</v>
      </c>
      <c r="G100" s="196" t="n">
        <v>0</v>
      </c>
      <c r="H100" s="196" t="n">
        <v>0</v>
      </c>
      <c r="I100" s="196" t="n">
        <v>0</v>
      </c>
      <c r="J100" s="196" t="n">
        <v>0</v>
      </c>
      <c r="K100" s="196" t="n">
        <v>0</v>
      </c>
      <c r="L100" s="196" t="n">
        <v>0</v>
      </c>
      <c r="M100" s="196"/>
      <c r="N100" s="196"/>
      <c r="O100" s="196" t="n">
        <f aca="false">SUM(C100:N100)</f>
        <v>0</v>
      </c>
    </row>
    <row r="101" customFormat="false" ht="12.75" hidden="false" customHeight="false" outlineLevel="0" collapsed="false">
      <c r="A101" s="203" t="s">
        <v>216</v>
      </c>
      <c r="B101" s="202" t="s">
        <v>210</v>
      </c>
      <c r="C101" s="196" t="n">
        <f aca="false">C99-C100</f>
        <v>0</v>
      </c>
      <c r="D101" s="196" t="n">
        <f aca="false">D99-D100</f>
        <v>0</v>
      </c>
      <c r="E101" s="196" t="n">
        <f aca="false">E99-E100</f>
        <v>0</v>
      </c>
      <c r="F101" s="196" t="n">
        <f aca="false">F99-F100</f>
        <v>0</v>
      </c>
      <c r="G101" s="196" t="n">
        <f aca="false">G99-G100</f>
        <v>0</v>
      </c>
      <c r="H101" s="196" t="n">
        <f aca="false">H99-H100</f>
        <v>0</v>
      </c>
      <c r="I101" s="196" t="n">
        <f aca="false">I99-I100</f>
        <v>0</v>
      </c>
      <c r="J101" s="196" t="n">
        <f aca="false">J99-J100</f>
        <v>0</v>
      </c>
      <c r="K101" s="196" t="n">
        <f aca="false">K99-K100</f>
        <v>0</v>
      </c>
      <c r="L101" s="196" t="n">
        <f aca="false">L99-L100</f>
        <v>0</v>
      </c>
      <c r="M101" s="196"/>
      <c r="N101" s="196"/>
      <c r="O101" s="196" t="n">
        <f aca="false">O99-O100</f>
        <v>0</v>
      </c>
    </row>
    <row r="102" customFormat="false" ht="13.5" hidden="false" customHeight="false" outlineLevel="0" collapsed="false">
      <c r="A102" s="199"/>
      <c r="B102" s="200" t="s">
        <v>9</v>
      </c>
      <c r="C102" s="201" t="n">
        <v>0</v>
      </c>
      <c r="D102" s="201" t="n">
        <v>0</v>
      </c>
      <c r="E102" s="201" t="n">
        <v>0</v>
      </c>
      <c r="F102" s="201" t="n">
        <v>0</v>
      </c>
      <c r="G102" s="201" t="n">
        <v>0</v>
      </c>
      <c r="H102" s="201" t="n">
        <v>0</v>
      </c>
      <c r="I102" s="201" t="n">
        <v>0</v>
      </c>
      <c r="J102" s="201" t="n">
        <v>0</v>
      </c>
      <c r="K102" s="201" t="n">
        <v>0</v>
      </c>
      <c r="L102" s="201" t="n">
        <v>0</v>
      </c>
      <c r="M102" s="201"/>
      <c r="N102" s="201"/>
      <c r="O102" s="201" t="n">
        <v>0</v>
      </c>
    </row>
    <row r="103" customFormat="false" ht="12.75" hidden="false" customHeight="false" outlineLevel="0" collapsed="false">
      <c r="A103" s="198"/>
      <c r="B103" s="194" t="n">
        <v>2016</v>
      </c>
      <c r="C103" s="204" t="n">
        <v>27</v>
      </c>
      <c r="D103" s="204" t="n">
        <v>23</v>
      </c>
      <c r="E103" s="204" t="n">
        <v>21</v>
      </c>
      <c r="F103" s="204" t="n">
        <v>15</v>
      </c>
      <c r="G103" s="204" t="n">
        <v>24</v>
      </c>
      <c r="H103" s="204" t="n">
        <v>16</v>
      </c>
      <c r="I103" s="204" t="n">
        <v>21</v>
      </c>
      <c r="J103" s="204" t="n">
        <v>16</v>
      </c>
      <c r="K103" s="204" t="n">
        <v>11</v>
      </c>
      <c r="L103" s="204" t="n">
        <v>10</v>
      </c>
      <c r="M103" s="204"/>
      <c r="N103" s="204"/>
      <c r="O103" s="194" t="n">
        <f aca="false">SUM(C103:N103)</f>
        <v>184</v>
      </c>
    </row>
    <row r="104" customFormat="false" ht="12.75" hidden="false" customHeight="false" outlineLevel="0" collapsed="false">
      <c r="A104" s="195" t="s">
        <v>217</v>
      </c>
      <c r="B104" s="196" t="n">
        <v>2015</v>
      </c>
      <c r="C104" s="196" t="n">
        <v>31</v>
      </c>
      <c r="D104" s="196" t="n">
        <v>23</v>
      </c>
      <c r="E104" s="196" t="n">
        <v>19</v>
      </c>
      <c r="F104" s="196" t="n">
        <v>12</v>
      </c>
      <c r="G104" s="196" t="n">
        <v>17</v>
      </c>
      <c r="H104" s="196" t="n">
        <v>6</v>
      </c>
      <c r="I104" s="196" t="n">
        <v>12</v>
      </c>
      <c r="J104" s="196" t="n">
        <v>20</v>
      </c>
      <c r="K104" s="196" t="n">
        <v>17</v>
      </c>
      <c r="L104" s="196" t="n">
        <v>16</v>
      </c>
      <c r="M104" s="196"/>
      <c r="N104" s="196"/>
      <c r="O104" s="196" t="n">
        <f aca="false">SUM(C104:N104)</f>
        <v>173</v>
      </c>
    </row>
    <row r="105" customFormat="false" ht="12.75" hidden="false" customHeight="false" outlineLevel="0" collapsed="false">
      <c r="A105" s="198"/>
      <c r="B105" s="202" t="s">
        <v>210</v>
      </c>
      <c r="C105" s="196" t="n">
        <f aca="false">C103-C104</f>
        <v>-4</v>
      </c>
      <c r="D105" s="196" t="n">
        <f aca="false">D103-D104</f>
        <v>0</v>
      </c>
      <c r="E105" s="196" t="n">
        <f aca="false">E103-E104</f>
        <v>2</v>
      </c>
      <c r="F105" s="196" t="n">
        <f aca="false">F103-F104</f>
        <v>3</v>
      </c>
      <c r="G105" s="196" t="n">
        <f aca="false">G103-G104</f>
        <v>7</v>
      </c>
      <c r="H105" s="196" t="n">
        <f aca="false">H103-H104</f>
        <v>10</v>
      </c>
      <c r="I105" s="196" t="n">
        <f aca="false">I103-I104</f>
        <v>9</v>
      </c>
      <c r="J105" s="196" t="n">
        <f aca="false">J103-J104</f>
        <v>-4</v>
      </c>
      <c r="K105" s="196" t="n">
        <f aca="false">K103-K104</f>
        <v>-6</v>
      </c>
      <c r="L105" s="196" t="n">
        <f aca="false">L103-L104</f>
        <v>-6</v>
      </c>
      <c r="M105" s="196"/>
      <c r="N105" s="196"/>
      <c r="O105" s="196" t="n">
        <f aca="false">O103-O104</f>
        <v>11</v>
      </c>
    </row>
    <row r="106" customFormat="false" ht="13.5" hidden="false" customHeight="false" outlineLevel="0" collapsed="false">
      <c r="A106" s="199"/>
      <c r="B106" s="200" t="s">
        <v>9</v>
      </c>
      <c r="C106" s="201" t="n">
        <f aca="false">C105/C104</f>
        <v>-0.129032258064516</v>
      </c>
      <c r="D106" s="201" t="n">
        <f aca="false">D105/D104</f>
        <v>0</v>
      </c>
      <c r="E106" s="201" t="n">
        <f aca="false">E105/E104</f>
        <v>0.105263157894737</v>
      </c>
      <c r="F106" s="201" t="n">
        <f aca="false">F105/F104</f>
        <v>0.25</v>
      </c>
      <c r="G106" s="201" t="n">
        <f aca="false">G105/G104</f>
        <v>0.411764705882353</v>
      </c>
      <c r="H106" s="201" t="n">
        <f aca="false">H105/H104</f>
        <v>1.66666666666667</v>
      </c>
      <c r="I106" s="201" t="n">
        <f aca="false">I105/I104</f>
        <v>0.75</v>
      </c>
      <c r="J106" s="201" t="n">
        <f aca="false">J105/J104</f>
        <v>-0.2</v>
      </c>
      <c r="K106" s="201" t="n">
        <f aca="false">K105/K104</f>
        <v>-0.352941176470588</v>
      </c>
      <c r="L106" s="201" t="n">
        <f aca="false">L105/L104</f>
        <v>-0.375</v>
      </c>
      <c r="M106" s="201"/>
      <c r="N106" s="201"/>
      <c r="O106" s="201" t="n">
        <f aca="false">O105/O104</f>
        <v>0.0635838150289017</v>
      </c>
    </row>
    <row r="107" customFormat="false" ht="12.75" hidden="false" customHeight="false" outlineLevel="0" collapsed="false">
      <c r="A107" s="198"/>
      <c r="B107" s="194" t="n">
        <v>2016</v>
      </c>
      <c r="C107" s="204" t="n">
        <v>20</v>
      </c>
      <c r="D107" s="204" t="n">
        <v>25</v>
      </c>
      <c r="E107" s="204" t="n">
        <v>23</v>
      </c>
      <c r="F107" s="204" t="n">
        <v>29</v>
      </c>
      <c r="G107" s="204" t="n">
        <v>39</v>
      </c>
      <c r="H107" s="204" t="n">
        <v>27</v>
      </c>
      <c r="I107" s="204" t="n">
        <v>31</v>
      </c>
      <c r="J107" s="204" t="n">
        <v>23</v>
      </c>
      <c r="K107" s="204" t="n">
        <v>30</v>
      </c>
      <c r="L107" s="204" t="n">
        <v>36</v>
      </c>
      <c r="M107" s="204"/>
      <c r="N107" s="204"/>
      <c r="O107" s="194" t="n">
        <f aca="false">SUM(C107:N107)</f>
        <v>283</v>
      </c>
    </row>
    <row r="108" customFormat="false" ht="12.75" hidden="false" customHeight="false" outlineLevel="0" collapsed="false">
      <c r="A108" s="195" t="s">
        <v>218</v>
      </c>
      <c r="B108" s="196" t="n">
        <v>2015</v>
      </c>
      <c r="C108" s="196" t="n">
        <v>8</v>
      </c>
      <c r="D108" s="196" t="n">
        <v>11</v>
      </c>
      <c r="E108" s="196" t="n">
        <v>10</v>
      </c>
      <c r="F108" s="196" t="n">
        <v>7</v>
      </c>
      <c r="G108" s="196" t="n">
        <v>13</v>
      </c>
      <c r="H108" s="196" t="n">
        <v>13</v>
      </c>
      <c r="I108" s="196" t="n">
        <v>8</v>
      </c>
      <c r="J108" s="196" t="n">
        <v>11</v>
      </c>
      <c r="K108" s="196" t="n">
        <v>14</v>
      </c>
      <c r="L108" s="196" t="n">
        <v>12</v>
      </c>
      <c r="M108" s="196"/>
      <c r="N108" s="196"/>
      <c r="O108" s="196" t="n">
        <f aca="false">SUM(C108:N108)</f>
        <v>107</v>
      </c>
    </row>
    <row r="109" customFormat="false" ht="12.75" hidden="false" customHeight="false" outlineLevel="0" collapsed="false">
      <c r="A109" s="195" t="s">
        <v>219</v>
      </c>
      <c r="B109" s="202" t="s">
        <v>210</v>
      </c>
      <c r="C109" s="196" t="n">
        <f aca="false">C107-C108</f>
        <v>12</v>
      </c>
      <c r="D109" s="196" t="n">
        <f aca="false">D107-D108</f>
        <v>14</v>
      </c>
      <c r="E109" s="196" t="n">
        <f aca="false">E107-E108</f>
        <v>13</v>
      </c>
      <c r="F109" s="196" t="n">
        <f aca="false">F107-F108</f>
        <v>22</v>
      </c>
      <c r="G109" s="196" t="n">
        <f aca="false">G107-G108</f>
        <v>26</v>
      </c>
      <c r="H109" s="196" t="n">
        <f aca="false">H107-H108</f>
        <v>14</v>
      </c>
      <c r="I109" s="196" t="n">
        <f aca="false">I107-I108</f>
        <v>23</v>
      </c>
      <c r="J109" s="196" t="n">
        <f aca="false">J107-J108</f>
        <v>12</v>
      </c>
      <c r="K109" s="196" t="n">
        <f aca="false">K107-K108</f>
        <v>16</v>
      </c>
      <c r="L109" s="196" t="n">
        <f aca="false">L107-L108</f>
        <v>24</v>
      </c>
      <c r="M109" s="196"/>
      <c r="N109" s="196"/>
      <c r="O109" s="196" t="n">
        <f aca="false">O107-O108</f>
        <v>176</v>
      </c>
    </row>
    <row r="110" customFormat="false" ht="13.5" hidden="false" customHeight="false" outlineLevel="0" collapsed="false">
      <c r="A110" s="199" t="s">
        <v>2</v>
      </c>
      <c r="B110" s="200" t="s">
        <v>9</v>
      </c>
      <c r="C110" s="201" t="n">
        <f aca="false">C109/C108</f>
        <v>1.5</v>
      </c>
      <c r="D110" s="201" t="n">
        <f aca="false">D109/D108</f>
        <v>1.27272727272727</v>
      </c>
      <c r="E110" s="201" t="n">
        <f aca="false">E109/E108</f>
        <v>1.3</v>
      </c>
      <c r="F110" s="201" t="n">
        <f aca="false">F109/F108</f>
        <v>3.14285714285714</v>
      </c>
      <c r="G110" s="201" t="n">
        <f aca="false">G109/G108</f>
        <v>2</v>
      </c>
      <c r="H110" s="201" t="n">
        <f aca="false">H109/H108</f>
        <v>1.07692307692308</v>
      </c>
      <c r="I110" s="201" t="n">
        <f aca="false">I109/I108</f>
        <v>2.875</v>
      </c>
      <c r="J110" s="201" t="n">
        <f aca="false">J109/J108</f>
        <v>1.09090909090909</v>
      </c>
      <c r="K110" s="201" t="n">
        <f aca="false">K109/K108</f>
        <v>1.14285714285714</v>
      </c>
      <c r="L110" s="201" t="n">
        <f aca="false">L109/L108</f>
        <v>2</v>
      </c>
      <c r="M110" s="201"/>
      <c r="N110" s="201"/>
      <c r="O110" s="201" t="n">
        <f aca="false">O109/O108</f>
        <v>1.64485981308411</v>
      </c>
    </row>
    <row r="111" customFormat="false" ht="12.75" hidden="false" customHeight="false" outlineLevel="0" collapsed="false">
      <c r="A111" s="198"/>
      <c r="B111" s="194" t="n">
        <v>2016</v>
      </c>
      <c r="C111" s="204" t="n">
        <v>67</v>
      </c>
      <c r="D111" s="204" t="n">
        <v>68</v>
      </c>
      <c r="E111" s="204" t="n">
        <v>55</v>
      </c>
      <c r="F111" s="204" t="n">
        <v>59</v>
      </c>
      <c r="G111" s="204" t="n">
        <v>69</v>
      </c>
      <c r="H111" s="204" t="n">
        <v>63</v>
      </c>
      <c r="I111" s="204" t="n">
        <v>56</v>
      </c>
      <c r="J111" s="204" t="n">
        <v>48</v>
      </c>
      <c r="K111" s="204" t="n">
        <v>56</v>
      </c>
      <c r="L111" s="204" t="n">
        <v>66</v>
      </c>
      <c r="M111" s="204"/>
      <c r="N111" s="204"/>
      <c r="O111" s="194" t="n">
        <f aca="false">SUM(C111:N111)</f>
        <v>607</v>
      </c>
    </row>
    <row r="112" customFormat="false" ht="12.75" hidden="false" customHeight="false" outlineLevel="0" collapsed="false">
      <c r="A112" s="195" t="s">
        <v>220</v>
      </c>
      <c r="B112" s="196" t="n">
        <v>2015</v>
      </c>
      <c r="C112" s="196" t="n">
        <v>81</v>
      </c>
      <c r="D112" s="196" t="n">
        <v>76</v>
      </c>
      <c r="E112" s="196" t="n">
        <v>78</v>
      </c>
      <c r="F112" s="196" t="n">
        <v>92</v>
      </c>
      <c r="G112" s="196" t="n">
        <v>110</v>
      </c>
      <c r="H112" s="196" t="n">
        <v>114</v>
      </c>
      <c r="I112" s="196" t="n">
        <v>93</v>
      </c>
      <c r="J112" s="196" t="n">
        <v>83</v>
      </c>
      <c r="K112" s="196" t="n">
        <v>76</v>
      </c>
      <c r="L112" s="196" t="n">
        <v>76</v>
      </c>
      <c r="M112" s="196"/>
      <c r="N112" s="196"/>
      <c r="O112" s="196" t="n">
        <f aca="false">SUM(C112:N112)</f>
        <v>879</v>
      </c>
    </row>
    <row r="113" customFormat="false" ht="12.75" hidden="false" customHeight="false" outlineLevel="0" collapsed="false">
      <c r="A113" s="198"/>
      <c r="B113" s="202" t="s">
        <v>210</v>
      </c>
      <c r="C113" s="196" t="n">
        <f aca="false">C111-C112</f>
        <v>-14</v>
      </c>
      <c r="D113" s="196" t="n">
        <f aca="false">D111-D112</f>
        <v>-8</v>
      </c>
      <c r="E113" s="196" t="n">
        <f aca="false">E111-E112</f>
        <v>-23</v>
      </c>
      <c r="F113" s="196" t="n">
        <f aca="false">F111-F112</f>
        <v>-33</v>
      </c>
      <c r="G113" s="196" t="n">
        <f aca="false">G111-G112</f>
        <v>-41</v>
      </c>
      <c r="H113" s="196" t="n">
        <f aca="false">H111-H112</f>
        <v>-51</v>
      </c>
      <c r="I113" s="196" t="n">
        <f aca="false">I111-I112</f>
        <v>-37</v>
      </c>
      <c r="J113" s="196" t="n">
        <f aca="false">J111-J112</f>
        <v>-35</v>
      </c>
      <c r="K113" s="196" t="n">
        <f aca="false">K111-K112</f>
        <v>-20</v>
      </c>
      <c r="L113" s="196" t="n">
        <f aca="false">L111-L112</f>
        <v>-10</v>
      </c>
      <c r="M113" s="196"/>
      <c r="N113" s="196"/>
      <c r="O113" s="196" t="n">
        <f aca="false">O111-O112</f>
        <v>-272</v>
      </c>
    </row>
    <row r="114" customFormat="false" ht="13.5" hidden="false" customHeight="false" outlineLevel="0" collapsed="false">
      <c r="A114" s="199"/>
      <c r="B114" s="200" t="s">
        <v>9</v>
      </c>
      <c r="C114" s="201" t="n">
        <f aca="false">C113/C112</f>
        <v>-0.17283950617284</v>
      </c>
      <c r="D114" s="201" t="n">
        <f aca="false">D113/D112</f>
        <v>-0.105263157894737</v>
      </c>
      <c r="E114" s="201" t="n">
        <f aca="false">E113/E112</f>
        <v>-0.294871794871795</v>
      </c>
      <c r="F114" s="201" t="n">
        <f aca="false">F113/F112</f>
        <v>-0.358695652173913</v>
      </c>
      <c r="G114" s="201" t="n">
        <f aca="false">G113/G112</f>
        <v>-0.372727272727273</v>
      </c>
      <c r="H114" s="201" t="n">
        <f aca="false">H113/H112</f>
        <v>-0.447368421052632</v>
      </c>
      <c r="I114" s="201" t="n">
        <f aca="false">I113/I112</f>
        <v>-0.397849462365591</v>
      </c>
      <c r="J114" s="201" t="n">
        <f aca="false">J113/J112</f>
        <v>-0.421686746987952</v>
      </c>
      <c r="K114" s="201" t="n">
        <f aca="false">K113/K112</f>
        <v>-0.263157894736842</v>
      </c>
      <c r="L114" s="201" t="n">
        <f aca="false">L113/L112</f>
        <v>-0.131578947368421</v>
      </c>
      <c r="M114" s="201"/>
      <c r="N114" s="201"/>
      <c r="O114" s="201" t="n">
        <f aca="false">O113/O112</f>
        <v>-0.309442548350398</v>
      </c>
    </row>
    <row r="115" customFormat="false" ht="12.75" hidden="false" customHeight="false" outlineLevel="0" collapsed="false">
      <c r="A115" s="198"/>
      <c r="B115" s="194" t="n">
        <v>2016</v>
      </c>
      <c r="C115" s="204" t="n">
        <v>201</v>
      </c>
      <c r="D115" s="204" t="n">
        <v>133</v>
      </c>
      <c r="E115" s="204" t="n">
        <v>156</v>
      </c>
      <c r="F115" s="204" t="n">
        <v>135</v>
      </c>
      <c r="G115" s="204" t="n">
        <v>165</v>
      </c>
      <c r="H115" s="204" t="n">
        <v>147</v>
      </c>
      <c r="I115" s="204" t="n">
        <v>136</v>
      </c>
      <c r="J115" s="204" t="n">
        <v>155</v>
      </c>
      <c r="K115" s="204" t="n">
        <v>171</v>
      </c>
      <c r="L115" s="204" t="n">
        <v>127</v>
      </c>
      <c r="M115" s="204"/>
      <c r="N115" s="204"/>
      <c r="O115" s="194" t="n">
        <f aca="false">SUM(C115:N115)</f>
        <v>1526</v>
      </c>
    </row>
    <row r="116" customFormat="false" ht="12.75" hidden="false" customHeight="false" outlineLevel="0" collapsed="false">
      <c r="A116" s="195" t="s">
        <v>221</v>
      </c>
      <c r="B116" s="196" t="n">
        <v>2015</v>
      </c>
      <c r="C116" s="196" t="n">
        <v>179</v>
      </c>
      <c r="D116" s="196" t="n">
        <v>164</v>
      </c>
      <c r="E116" s="196" t="n">
        <v>167</v>
      </c>
      <c r="F116" s="196" t="n">
        <v>165</v>
      </c>
      <c r="G116" s="196" t="n">
        <v>223</v>
      </c>
      <c r="H116" s="196" t="n">
        <v>176</v>
      </c>
      <c r="I116" s="196" t="n">
        <v>194</v>
      </c>
      <c r="J116" s="196" t="n">
        <v>199</v>
      </c>
      <c r="K116" s="196" t="n">
        <v>163</v>
      </c>
      <c r="L116" s="196" t="n">
        <v>248</v>
      </c>
      <c r="M116" s="196"/>
      <c r="N116" s="196"/>
      <c r="O116" s="196" t="n">
        <f aca="false">SUM(C116:N116)</f>
        <v>1878</v>
      </c>
    </row>
    <row r="117" customFormat="false" ht="12.75" hidden="false" customHeight="false" outlineLevel="0" collapsed="false">
      <c r="A117" s="195" t="s">
        <v>222</v>
      </c>
      <c r="B117" s="202" t="s">
        <v>210</v>
      </c>
      <c r="C117" s="196" t="n">
        <f aca="false">C115-C116</f>
        <v>22</v>
      </c>
      <c r="D117" s="196" t="n">
        <f aca="false">D115-D116</f>
        <v>-31</v>
      </c>
      <c r="E117" s="196" t="n">
        <f aca="false">E115-E116</f>
        <v>-11</v>
      </c>
      <c r="F117" s="196" t="n">
        <f aca="false">F115-F116</f>
        <v>-30</v>
      </c>
      <c r="G117" s="196" t="n">
        <f aca="false">G115-G116</f>
        <v>-58</v>
      </c>
      <c r="H117" s="196" t="n">
        <f aca="false">H115-H116</f>
        <v>-29</v>
      </c>
      <c r="I117" s="196" t="n">
        <f aca="false">I115-I116</f>
        <v>-58</v>
      </c>
      <c r="J117" s="196" t="n">
        <f aca="false">J115-J116</f>
        <v>-44</v>
      </c>
      <c r="K117" s="196" t="n">
        <f aca="false">K115-K116</f>
        <v>8</v>
      </c>
      <c r="L117" s="196" t="n">
        <f aca="false">L115-L116</f>
        <v>-121</v>
      </c>
      <c r="M117" s="196"/>
      <c r="N117" s="196"/>
      <c r="O117" s="196" t="n">
        <f aca="false">O115-O116</f>
        <v>-352</v>
      </c>
    </row>
    <row r="118" customFormat="false" ht="13.5" hidden="false" customHeight="false" outlineLevel="0" collapsed="false">
      <c r="A118" s="199"/>
      <c r="B118" s="200" t="s">
        <v>9</v>
      </c>
      <c r="C118" s="201" t="n">
        <f aca="false">C117/C116</f>
        <v>0.122905027932961</v>
      </c>
      <c r="D118" s="201" t="n">
        <f aca="false">D117/D116</f>
        <v>-0.189024390243902</v>
      </c>
      <c r="E118" s="201" t="n">
        <f aca="false">E117/E116</f>
        <v>-0.0658682634730539</v>
      </c>
      <c r="F118" s="201" t="n">
        <f aca="false">F117/F116</f>
        <v>-0.181818181818182</v>
      </c>
      <c r="G118" s="201" t="n">
        <f aca="false">G117/G116</f>
        <v>-0.260089686098655</v>
      </c>
      <c r="H118" s="201" t="n">
        <f aca="false">H117/H116</f>
        <v>-0.164772727272727</v>
      </c>
      <c r="I118" s="201" t="n">
        <f aca="false">I117/I116</f>
        <v>-0.298969072164948</v>
      </c>
      <c r="J118" s="201" t="n">
        <f aca="false">J117/J116</f>
        <v>-0.221105527638191</v>
      </c>
      <c r="K118" s="201" t="n">
        <f aca="false">K117/K116</f>
        <v>0.049079754601227</v>
      </c>
      <c r="L118" s="201" t="n">
        <f aca="false">L117/L116</f>
        <v>-0.487903225806452</v>
      </c>
      <c r="M118" s="201"/>
      <c r="N118" s="201"/>
      <c r="O118" s="201" t="n">
        <f aca="false">O117/O116</f>
        <v>-0.187433439829606</v>
      </c>
    </row>
    <row r="119" customFormat="false" ht="12.75" hidden="false" customHeight="false" outlineLevel="0" collapsed="false">
      <c r="A119" s="198"/>
      <c r="B119" s="194" t="n">
        <v>2016</v>
      </c>
      <c r="C119" s="204" t="n">
        <v>20</v>
      </c>
      <c r="D119" s="204" t="n">
        <v>21</v>
      </c>
      <c r="E119" s="204" t="n">
        <v>30</v>
      </c>
      <c r="F119" s="204" t="n">
        <v>20</v>
      </c>
      <c r="G119" s="204" t="n">
        <v>20</v>
      </c>
      <c r="H119" s="204" t="n">
        <v>27</v>
      </c>
      <c r="I119" s="204" t="n">
        <v>27</v>
      </c>
      <c r="J119" s="204" t="n">
        <v>28</v>
      </c>
      <c r="K119" s="204" t="n">
        <v>22</v>
      </c>
      <c r="L119" s="204" t="n">
        <v>31</v>
      </c>
      <c r="M119" s="204"/>
      <c r="N119" s="204"/>
      <c r="O119" s="194" t="n">
        <f aca="false">SUM(C119:N119)</f>
        <v>246</v>
      </c>
    </row>
    <row r="120" customFormat="false" ht="12.75" hidden="false" customHeight="false" outlineLevel="0" collapsed="false">
      <c r="A120" s="195" t="s">
        <v>223</v>
      </c>
      <c r="B120" s="196" t="n">
        <v>2015</v>
      </c>
      <c r="C120" s="196" t="n">
        <v>26</v>
      </c>
      <c r="D120" s="196" t="n">
        <v>16</v>
      </c>
      <c r="E120" s="196" t="n">
        <v>20</v>
      </c>
      <c r="F120" s="196" t="n">
        <v>39</v>
      </c>
      <c r="G120" s="196" t="n">
        <v>33</v>
      </c>
      <c r="H120" s="196" t="n">
        <v>37</v>
      </c>
      <c r="I120" s="196" t="n">
        <v>28</v>
      </c>
      <c r="J120" s="196" t="n">
        <v>30</v>
      </c>
      <c r="K120" s="196" t="n">
        <v>37</v>
      </c>
      <c r="L120" s="196" t="n">
        <v>38</v>
      </c>
      <c r="M120" s="196"/>
      <c r="N120" s="196"/>
      <c r="O120" s="196" t="n">
        <f aca="false">SUM(C120:N120)</f>
        <v>304</v>
      </c>
    </row>
    <row r="121" customFormat="false" ht="12.75" hidden="false" customHeight="false" outlineLevel="0" collapsed="false">
      <c r="A121" s="195" t="s">
        <v>224</v>
      </c>
      <c r="B121" s="202" t="s">
        <v>210</v>
      </c>
      <c r="C121" s="196" t="n">
        <f aca="false">C119-C120</f>
        <v>-6</v>
      </c>
      <c r="D121" s="196" t="n">
        <f aca="false">D119-D120</f>
        <v>5</v>
      </c>
      <c r="E121" s="196" t="n">
        <f aca="false">E119-E120</f>
        <v>10</v>
      </c>
      <c r="F121" s="196" t="n">
        <f aca="false">F119-F120</f>
        <v>-19</v>
      </c>
      <c r="G121" s="196" t="n">
        <f aca="false">G119-G120</f>
        <v>-13</v>
      </c>
      <c r="H121" s="196" t="n">
        <f aca="false">H119-H120</f>
        <v>-10</v>
      </c>
      <c r="I121" s="196" t="n">
        <f aca="false">I119-I120</f>
        <v>-1</v>
      </c>
      <c r="J121" s="196" t="n">
        <f aca="false">J119-J120</f>
        <v>-2</v>
      </c>
      <c r="K121" s="196" t="n">
        <f aca="false">K119-K120</f>
        <v>-15</v>
      </c>
      <c r="L121" s="196" t="n">
        <f aca="false">L119-L120</f>
        <v>-7</v>
      </c>
      <c r="M121" s="196"/>
      <c r="N121" s="196"/>
      <c r="O121" s="196" t="n">
        <f aca="false">O119-O120</f>
        <v>-58</v>
      </c>
    </row>
    <row r="122" customFormat="false" ht="13.5" hidden="false" customHeight="false" outlineLevel="0" collapsed="false">
      <c r="A122" s="199"/>
      <c r="B122" s="200" t="s">
        <v>9</v>
      </c>
      <c r="C122" s="201" t="n">
        <f aca="false">C121/C120</f>
        <v>-0.230769230769231</v>
      </c>
      <c r="D122" s="201" t="n">
        <f aca="false">D121/D120</f>
        <v>0.3125</v>
      </c>
      <c r="E122" s="201" t="n">
        <f aca="false">E121/E120</f>
        <v>0.5</v>
      </c>
      <c r="F122" s="201" t="n">
        <f aca="false">F121/F120</f>
        <v>-0.487179487179487</v>
      </c>
      <c r="G122" s="201" t="n">
        <f aca="false">G121/G120</f>
        <v>-0.393939393939394</v>
      </c>
      <c r="H122" s="201" t="n">
        <f aca="false">H121/H120</f>
        <v>-0.27027027027027</v>
      </c>
      <c r="I122" s="201" t="n">
        <f aca="false">I121/I120</f>
        <v>-0.0357142857142857</v>
      </c>
      <c r="J122" s="201" t="n">
        <f aca="false">J121/J120</f>
        <v>-0.0666666666666667</v>
      </c>
      <c r="K122" s="201" t="n">
        <f aca="false">K121/K120</f>
        <v>-0.405405405405405</v>
      </c>
      <c r="L122" s="201" t="n">
        <f aca="false">L121/L120</f>
        <v>-0.184210526315789</v>
      </c>
      <c r="M122" s="201"/>
      <c r="N122" s="201"/>
      <c r="O122" s="201" t="n">
        <f aca="false">O121/O120</f>
        <v>-0.190789473684211</v>
      </c>
    </row>
    <row r="125" customFormat="false" ht="13.5" hidden="false" customHeight="false" outlineLevel="0" collapsed="false">
      <c r="A125" s="210" t="s">
        <v>92</v>
      </c>
      <c r="B125" s="209"/>
    </row>
    <row r="126" customFormat="false" ht="13.5" hidden="false" customHeight="false" outlineLevel="0" collapsed="false">
      <c r="A126" s="0" t="s">
        <v>2</v>
      </c>
      <c r="B126" s="192" t="s">
        <v>196</v>
      </c>
      <c r="C126" s="192" t="s">
        <v>197</v>
      </c>
      <c r="D126" s="192" t="s">
        <v>198</v>
      </c>
      <c r="E126" s="192" t="s">
        <v>199</v>
      </c>
      <c r="F126" s="192" t="s">
        <v>200</v>
      </c>
      <c r="G126" s="192" t="s">
        <v>201</v>
      </c>
      <c r="H126" s="192" t="s">
        <v>202</v>
      </c>
      <c r="I126" s="192" t="s">
        <v>203</v>
      </c>
      <c r="J126" s="192" t="s">
        <v>204</v>
      </c>
      <c r="K126" s="192" t="s">
        <v>205</v>
      </c>
      <c r="L126" s="192" t="s">
        <v>206</v>
      </c>
      <c r="M126" s="192" t="s">
        <v>207</v>
      </c>
      <c r="N126" s="192" t="s">
        <v>208</v>
      </c>
      <c r="O126" s="192" t="s">
        <v>52</v>
      </c>
    </row>
    <row r="127" customFormat="false" ht="12.75" hidden="false" customHeight="false" outlineLevel="0" collapsed="false">
      <c r="A127" s="193"/>
      <c r="B127" s="194" t="n">
        <v>2016</v>
      </c>
      <c r="C127" s="194" t="n">
        <f aca="false">SUM(C131+C135+C143+C147+C151+C155+C159)</f>
        <v>367</v>
      </c>
      <c r="D127" s="194" t="n">
        <f aca="false">SUM(D131+D135+D143+D147+D151+D155+D159)</f>
        <v>317</v>
      </c>
      <c r="E127" s="194" t="n">
        <f aca="false">SUM(E131+E135+E143+E147+E151+E155+E159)</f>
        <v>300</v>
      </c>
      <c r="F127" s="194" t="n">
        <f aca="false">SUM(F131+F135+F143+F147+F151+F155+F159)</f>
        <v>325</v>
      </c>
      <c r="G127" s="194" t="n">
        <f aca="false">SUM(G131+G135+G143+G147+G151+G155+G159)</f>
        <v>239</v>
      </c>
      <c r="H127" s="194" t="n">
        <f aca="false">SUM(H131+H135+H143+H147+H151+H155+H159)</f>
        <v>290</v>
      </c>
      <c r="I127" s="194" t="n">
        <f aca="false">SUM(I131+I135+I143+I147+I151+I155+I159)</f>
        <v>294</v>
      </c>
      <c r="J127" s="194" t="n">
        <f aca="false">SUM(J131+J135+J143+J147+J151+J155+J159)</f>
        <v>290</v>
      </c>
      <c r="K127" s="194" t="n">
        <f aca="false">SUM(K131+K135+K143+K147+K151+K155+K159)</f>
        <v>291</v>
      </c>
      <c r="L127" s="194" t="n">
        <f aca="false">SUM(L131+L135+L143+L147+L151+L155+L159+L139)</f>
        <v>293</v>
      </c>
      <c r="M127" s="194"/>
      <c r="N127" s="194"/>
      <c r="O127" s="194" t="n">
        <f aca="false">SUM(O131+O135+O143+O147+O151+O155+O159+O139)</f>
        <v>3006</v>
      </c>
    </row>
    <row r="128" customFormat="false" ht="12.75" hidden="false" customHeight="false" outlineLevel="0" collapsed="false">
      <c r="A128" s="195" t="s">
        <v>52</v>
      </c>
      <c r="B128" s="196" t="n">
        <v>2015</v>
      </c>
      <c r="C128" s="196" t="n">
        <f aca="false">SUM(C132+C136+C140+C144+C148+C152+C156+C160)</f>
        <v>385</v>
      </c>
      <c r="D128" s="196" t="n">
        <f aca="false">SUM(D132+D136+D140+D144+D148+D152+D156+D160)</f>
        <v>342</v>
      </c>
      <c r="E128" s="196" t="n">
        <f aca="false">SUM(E132+E136+E140+E144+E148+E152+E156+E160)</f>
        <v>358</v>
      </c>
      <c r="F128" s="196" t="n">
        <f aca="false">SUM(F132+F136+F140+F144+F148+F152+F156+F160)</f>
        <v>324</v>
      </c>
      <c r="G128" s="196" t="n">
        <f aca="false">SUM(G132+G136+G140+G144+G148+G152+G156+G160)</f>
        <v>300</v>
      </c>
      <c r="H128" s="196" t="n">
        <f aca="false">SUM(H132+H136+H140+H144+H148+H152+H156+H160)</f>
        <v>278</v>
      </c>
      <c r="I128" s="196" t="n">
        <f aca="false">SUM(I132+I136+I140+I144+I148+I152+I156+I160)</f>
        <v>289</v>
      </c>
      <c r="J128" s="196" t="n">
        <f aca="false">SUM(J132+J136+J140+J144+J148+J152+J156+J160)</f>
        <v>282</v>
      </c>
      <c r="K128" s="196" t="n">
        <f aca="false">SUM(K132+K136+K140+K144+K148+K152+K156+K160)</f>
        <v>280</v>
      </c>
      <c r="L128" s="196" t="n">
        <f aca="false">SUM(L132+L136+L140+L144+L148+L152+L156+L160)</f>
        <v>300</v>
      </c>
      <c r="M128" s="196"/>
      <c r="N128" s="196"/>
      <c r="O128" s="196" t="n">
        <f aca="false">SUM(C128:N128)</f>
        <v>3138</v>
      </c>
    </row>
    <row r="129" customFormat="false" ht="12.75" hidden="false" customHeight="false" outlineLevel="0" collapsed="false">
      <c r="A129" s="195" t="s">
        <v>209</v>
      </c>
      <c r="B129" s="197" t="s">
        <v>210</v>
      </c>
      <c r="C129" s="196" t="n">
        <f aca="false">C127-C128</f>
        <v>-18</v>
      </c>
      <c r="D129" s="196" t="n">
        <f aca="false">D127-D128</f>
        <v>-25</v>
      </c>
      <c r="E129" s="196" t="n">
        <f aca="false">E127-E128</f>
        <v>-58</v>
      </c>
      <c r="F129" s="196" t="n">
        <f aca="false">F127-F128</f>
        <v>1</v>
      </c>
      <c r="G129" s="196" t="n">
        <f aca="false">G127-G128</f>
        <v>-61</v>
      </c>
      <c r="H129" s="196" t="n">
        <f aca="false">H127-H128</f>
        <v>12</v>
      </c>
      <c r="I129" s="196" t="n">
        <f aca="false">I127-I128</f>
        <v>5</v>
      </c>
      <c r="J129" s="196" t="n">
        <f aca="false">J127-J128</f>
        <v>8</v>
      </c>
      <c r="K129" s="196" t="n">
        <f aca="false">K127-K128</f>
        <v>11</v>
      </c>
      <c r="L129" s="196" t="n">
        <f aca="false">L127-L128</f>
        <v>-7</v>
      </c>
      <c r="M129" s="196"/>
      <c r="N129" s="196"/>
      <c r="O129" s="196" t="n">
        <f aca="false">O127-O128</f>
        <v>-132</v>
      </c>
    </row>
    <row r="130" customFormat="false" ht="13.5" hidden="false" customHeight="false" outlineLevel="0" collapsed="false">
      <c r="A130" s="199"/>
      <c r="B130" s="200" t="s">
        <v>9</v>
      </c>
      <c r="C130" s="201" t="n">
        <f aca="false">C129/C128</f>
        <v>-0.0467532467532468</v>
      </c>
      <c r="D130" s="201" t="n">
        <f aca="false">D129/D128</f>
        <v>-0.0730994152046784</v>
      </c>
      <c r="E130" s="201" t="n">
        <f aca="false">E129/E128</f>
        <v>-0.162011173184358</v>
      </c>
      <c r="F130" s="201" t="n">
        <f aca="false">F129/F128</f>
        <v>0.00308641975308642</v>
      </c>
      <c r="G130" s="201" t="n">
        <f aca="false">G129/G128</f>
        <v>-0.203333333333333</v>
      </c>
      <c r="H130" s="201" t="n">
        <f aca="false">H129/H128</f>
        <v>0.0431654676258993</v>
      </c>
      <c r="I130" s="201" t="n">
        <f aca="false">I129/I128</f>
        <v>0.0173010380622837</v>
      </c>
      <c r="J130" s="201" t="n">
        <f aca="false">J129/J128</f>
        <v>0.0283687943262411</v>
      </c>
      <c r="K130" s="201" t="n">
        <f aca="false">K129/K128</f>
        <v>0.0392857142857143</v>
      </c>
      <c r="L130" s="201" t="n">
        <f aca="false">L129/L128</f>
        <v>-0.0233333333333333</v>
      </c>
      <c r="M130" s="201"/>
      <c r="N130" s="201"/>
      <c r="O130" s="201" t="n">
        <f aca="false">O129/O128</f>
        <v>-0.0420650095602295</v>
      </c>
    </row>
    <row r="131" customFormat="false" ht="12.75" hidden="false" customHeight="false" outlineLevel="0" collapsed="false">
      <c r="A131" s="198"/>
      <c r="B131" s="194" t="n">
        <v>2016</v>
      </c>
      <c r="C131" s="194" t="n">
        <v>3</v>
      </c>
      <c r="D131" s="194" t="n">
        <v>6</v>
      </c>
      <c r="E131" s="194" t="n">
        <v>7</v>
      </c>
      <c r="F131" s="194" t="n">
        <v>7</v>
      </c>
      <c r="G131" s="194" t="n">
        <v>11</v>
      </c>
      <c r="H131" s="194" t="n">
        <v>7</v>
      </c>
      <c r="I131" s="194" t="n">
        <v>6</v>
      </c>
      <c r="J131" s="194" t="n">
        <v>12</v>
      </c>
      <c r="K131" s="194" t="n">
        <v>2</v>
      </c>
      <c r="L131" s="194" t="n">
        <v>9</v>
      </c>
      <c r="M131" s="194"/>
      <c r="N131" s="194"/>
      <c r="O131" s="194" t="n">
        <f aca="false">SUM(C131:N131)</f>
        <v>70</v>
      </c>
    </row>
    <row r="132" customFormat="false" ht="12.75" hidden="false" customHeight="false" outlineLevel="0" collapsed="false">
      <c r="A132" s="195" t="s">
        <v>211</v>
      </c>
      <c r="B132" s="196" t="n">
        <v>2015</v>
      </c>
      <c r="C132" s="196" t="n">
        <v>3</v>
      </c>
      <c r="D132" s="196" t="n">
        <v>6</v>
      </c>
      <c r="E132" s="196" t="n">
        <v>4</v>
      </c>
      <c r="F132" s="196" t="n">
        <v>6</v>
      </c>
      <c r="G132" s="196" t="n">
        <v>5</v>
      </c>
      <c r="H132" s="196" t="n">
        <v>3</v>
      </c>
      <c r="I132" s="196" t="n">
        <v>3</v>
      </c>
      <c r="J132" s="196" t="n">
        <v>5</v>
      </c>
      <c r="K132" s="196" t="n">
        <v>11</v>
      </c>
      <c r="L132" s="196" t="n">
        <v>5</v>
      </c>
      <c r="M132" s="196"/>
      <c r="N132" s="196"/>
      <c r="O132" s="196" t="n">
        <f aca="false">SUM(C132:N132)</f>
        <v>51</v>
      </c>
    </row>
    <row r="133" customFormat="false" ht="12.75" hidden="false" customHeight="false" outlineLevel="0" collapsed="false">
      <c r="A133" s="195" t="s">
        <v>212</v>
      </c>
      <c r="B133" s="202" t="s">
        <v>210</v>
      </c>
      <c r="C133" s="196" t="n">
        <f aca="false">C131-C132</f>
        <v>0</v>
      </c>
      <c r="D133" s="196" t="n">
        <f aca="false">D131-D132</f>
        <v>0</v>
      </c>
      <c r="E133" s="196" t="n">
        <f aca="false">E131-E132</f>
        <v>3</v>
      </c>
      <c r="F133" s="196" t="n">
        <f aca="false">F131-F132</f>
        <v>1</v>
      </c>
      <c r="G133" s="196" t="n">
        <f aca="false">G131-G132</f>
        <v>6</v>
      </c>
      <c r="H133" s="196" t="n">
        <f aca="false">H131-H132</f>
        <v>4</v>
      </c>
      <c r="I133" s="196" t="n">
        <f aca="false">I131-I132</f>
        <v>3</v>
      </c>
      <c r="J133" s="196" t="n">
        <f aca="false">J131-J132</f>
        <v>7</v>
      </c>
      <c r="K133" s="196" t="n">
        <f aca="false">K131-K132</f>
        <v>-9</v>
      </c>
      <c r="L133" s="196" t="n">
        <f aca="false">L131-L132</f>
        <v>4</v>
      </c>
      <c r="M133" s="196"/>
      <c r="N133" s="196"/>
      <c r="O133" s="196" t="n">
        <f aca="false">O131-O132</f>
        <v>19</v>
      </c>
    </row>
    <row r="134" customFormat="false" ht="13.5" hidden="false" customHeight="false" outlineLevel="0" collapsed="false">
      <c r="A134" s="199"/>
      <c r="B134" s="200" t="s">
        <v>9</v>
      </c>
      <c r="C134" s="201" t="n">
        <f aca="false">C133/C132</f>
        <v>0</v>
      </c>
      <c r="D134" s="201" t="n">
        <f aca="false">D133/D132</f>
        <v>0</v>
      </c>
      <c r="E134" s="201" t="n">
        <f aca="false">E133/E132</f>
        <v>0.75</v>
      </c>
      <c r="F134" s="201" t="n">
        <f aca="false">F133/F132</f>
        <v>0.166666666666667</v>
      </c>
      <c r="G134" s="201" t="n">
        <f aca="false">G133/G132</f>
        <v>1.2</v>
      </c>
      <c r="H134" s="201" t="n">
        <f aca="false">H133/H132</f>
        <v>1.33333333333333</v>
      </c>
      <c r="I134" s="201" t="n">
        <f aca="false">I133/I132</f>
        <v>1</v>
      </c>
      <c r="J134" s="201" t="n">
        <f aca="false">J133/J132</f>
        <v>1.4</v>
      </c>
      <c r="K134" s="201" t="n">
        <f aca="false">K133/K132</f>
        <v>-0.818181818181818</v>
      </c>
      <c r="L134" s="201" t="n">
        <f aca="false">L133/L132</f>
        <v>0.8</v>
      </c>
      <c r="M134" s="201"/>
      <c r="N134" s="201"/>
      <c r="O134" s="201" t="n">
        <f aca="false">O133/O132</f>
        <v>0.372549019607843</v>
      </c>
    </row>
    <row r="135" customFormat="false" ht="12.75" hidden="false" customHeight="false" outlineLevel="0" collapsed="false">
      <c r="A135" s="198"/>
      <c r="B135" s="194" t="n">
        <v>2016</v>
      </c>
      <c r="C135" s="204" t="n">
        <v>0</v>
      </c>
      <c r="D135" s="204" t="n">
        <v>2</v>
      </c>
      <c r="E135" s="204" t="n">
        <v>0</v>
      </c>
      <c r="F135" s="204" t="n">
        <v>1</v>
      </c>
      <c r="G135" s="204" t="n">
        <v>2</v>
      </c>
      <c r="H135" s="204" t="n">
        <v>1</v>
      </c>
      <c r="I135" s="204" t="n">
        <v>0</v>
      </c>
      <c r="J135" s="194" t="n">
        <v>5</v>
      </c>
      <c r="K135" s="194" t="n">
        <v>2</v>
      </c>
      <c r="L135" s="194" t="n">
        <v>3</v>
      </c>
      <c r="M135" s="204"/>
      <c r="N135" s="204"/>
      <c r="O135" s="194" t="n">
        <f aca="false">SUM(C135:N135)</f>
        <v>16</v>
      </c>
    </row>
    <row r="136" customFormat="false" ht="12.75" hidden="false" customHeight="false" outlineLevel="0" collapsed="false">
      <c r="A136" s="203" t="s">
        <v>213</v>
      </c>
      <c r="B136" s="196" t="n">
        <v>2015</v>
      </c>
      <c r="C136" s="196" t="n">
        <v>0</v>
      </c>
      <c r="D136" s="196" t="n">
        <v>1</v>
      </c>
      <c r="E136" s="196" t="n">
        <v>1</v>
      </c>
      <c r="F136" s="196" t="n">
        <v>0</v>
      </c>
      <c r="G136" s="196" t="n">
        <v>0</v>
      </c>
      <c r="H136" s="196" t="n">
        <v>1</v>
      </c>
      <c r="I136" s="196" t="n">
        <v>4</v>
      </c>
      <c r="J136" s="196" t="n">
        <v>3</v>
      </c>
      <c r="K136" s="196" t="n">
        <v>2</v>
      </c>
      <c r="L136" s="196" t="n">
        <v>0</v>
      </c>
      <c r="M136" s="196"/>
      <c r="N136" s="196"/>
      <c r="O136" s="196" t="n">
        <f aca="false">SUM(C136:N136)</f>
        <v>12</v>
      </c>
    </row>
    <row r="137" customFormat="false" ht="12.75" hidden="false" customHeight="false" outlineLevel="0" collapsed="false">
      <c r="A137" s="195" t="s">
        <v>214</v>
      </c>
      <c r="B137" s="202" t="s">
        <v>210</v>
      </c>
      <c r="C137" s="196" t="n">
        <f aca="false">C135-C136</f>
        <v>0</v>
      </c>
      <c r="D137" s="196" t="n">
        <f aca="false">D135-D136</f>
        <v>1</v>
      </c>
      <c r="E137" s="196" t="n">
        <f aca="false">E135-E136</f>
        <v>-1</v>
      </c>
      <c r="F137" s="196" t="n">
        <f aca="false">F135-F136</f>
        <v>1</v>
      </c>
      <c r="G137" s="196" t="n">
        <f aca="false">G135-G136</f>
        <v>2</v>
      </c>
      <c r="H137" s="196" t="n">
        <f aca="false">H135-H136</f>
        <v>0</v>
      </c>
      <c r="I137" s="196" t="n">
        <f aca="false">I135-I136</f>
        <v>-4</v>
      </c>
      <c r="J137" s="196" t="n">
        <f aca="false">J135-J136</f>
        <v>2</v>
      </c>
      <c r="K137" s="196" t="n">
        <f aca="false">K135-K136</f>
        <v>0</v>
      </c>
      <c r="L137" s="196" t="n">
        <f aca="false">L135-L136</f>
        <v>3</v>
      </c>
      <c r="M137" s="196"/>
      <c r="N137" s="196"/>
      <c r="O137" s="196" t="n">
        <f aca="false">O135-O136</f>
        <v>4</v>
      </c>
    </row>
    <row r="138" customFormat="false" ht="13.5" hidden="false" customHeight="false" outlineLevel="0" collapsed="false">
      <c r="A138" s="199"/>
      <c r="B138" s="200" t="s">
        <v>9</v>
      </c>
      <c r="C138" s="201" t="e">
        <f aca="false">C137/C136</f>
        <v>#DIV/0!</v>
      </c>
      <c r="D138" s="201" t="n">
        <f aca="false">D137/D136</f>
        <v>1</v>
      </c>
      <c r="E138" s="201" t="n">
        <f aca="false">E137/E136</f>
        <v>-1</v>
      </c>
      <c r="F138" s="201" t="n">
        <v>0</v>
      </c>
      <c r="G138" s="201" t="n">
        <v>0</v>
      </c>
      <c r="H138" s="201" t="n">
        <f aca="false">H137/H136</f>
        <v>0</v>
      </c>
      <c r="I138" s="201" t="n">
        <f aca="false">I137/I136</f>
        <v>-1</v>
      </c>
      <c r="J138" s="201" t="n">
        <f aca="false">J137/J136</f>
        <v>0.666666666666667</v>
      </c>
      <c r="K138" s="201" t="n">
        <f aca="false">K137/K136</f>
        <v>0</v>
      </c>
      <c r="L138" s="201" t="n">
        <v>0</v>
      </c>
      <c r="M138" s="201"/>
      <c r="N138" s="201"/>
      <c r="O138" s="201" t="n">
        <f aca="false">O137/O136</f>
        <v>0.333333333333333</v>
      </c>
    </row>
    <row r="139" customFormat="false" ht="12.75" hidden="false" customHeight="false" outlineLevel="0" collapsed="false">
      <c r="A139" s="198"/>
      <c r="B139" s="194" t="n">
        <v>2016</v>
      </c>
      <c r="C139" s="204" t="n">
        <v>0</v>
      </c>
      <c r="D139" s="204" t="n">
        <v>0</v>
      </c>
      <c r="E139" s="204" t="n">
        <v>0</v>
      </c>
      <c r="F139" s="204" t="n">
        <v>0</v>
      </c>
      <c r="G139" s="204" t="n">
        <v>0</v>
      </c>
      <c r="H139" s="204" t="n">
        <v>0</v>
      </c>
      <c r="I139" s="204" t="n">
        <v>0</v>
      </c>
      <c r="J139" s="194" t="n">
        <v>0</v>
      </c>
      <c r="K139" s="194" t="n">
        <v>0</v>
      </c>
      <c r="L139" s="194" t="n">
        <v>1</v>
      </c>
      <c r="M139" s="204"/>
      <c r="N139" s="204"/>
      <c r="O139" s="194" t="n">
        <f aca="false">SUM(C139:N139)</f>
        <v>1</v>
      </c>
    </row>
    <row r="140" customFormat="false" ht="12.75" hidden="false" customHeight="false" outlineLevel="0" collapsed="false">
      <c r="A140" s="203" t="s">
        <v>215</v>
      </c>
      <c r="B140" s="196" t="n">
        <v>2015</v>
      </c>
      <c r="C140" s="196" t="n">
        <v>0</v>
      </c>
      <c r="D140" s="196" t="n">
        <v>0</v>
      </c>
      <c r="E140" s="196" t="n">
        <v>0</v>
      </c>
      <c r="F140" s="196" t="n">
        <v>0</v>
      </c>
      <c r="G140" s="196" t="n">
        <v>0</v>
      </c>
      <c r="H140" s="196" t="n">
        <v>0</v>
      </c>
      <c r="I140" s="196" t="n">
        <v>0</v>
      </c>
      <c r="J140" s="196" t="n">
        <v>0</v>
      </c>
      <c r="K140" s="196" t="n">
        <v>0</v>
      </c>
      <c r="L140" s="196" t="n">
        <v>0</v>
      </c>
      <c r="M140" s="196"/>
      <c r="N140" s="196"/>
      <c r="O140" s="196" t="n">
        <f aca="false">SUM(C140:N140)</f>
        <v>0</v>
      </c>
    </row>
    <row r="141" customFormat="false" ht="12.75" hidden="false" customHeight="false" outlineLevel="0" collapsed="false">
      <c r="A141" s="203" t="s">
        <v>216</v>
      </c>
      <c r="B141" s="202" t="s">
        <v>210</v>
      </c>
      <c r="C141" s="196" t="n">
        <f aca="false">C139-C140</f>
        <v>0</v>
      </c>
      <c r="D141" s="196" t="n">
        <f aca="false">D139-D140</f>
        <v>0</v>
      </c>
      <c r="E141" s="196" t="n">
        <f aca="false">E139-E140</f>
        <v>0</v>
      </c>
      <c r="F141" s="196" t="n">
        <f aca="false">F139-F140</f>
        <v>0</v>
      </c>
      <c r="G141" s="196" t="n">
        <f aca="false">G139-G140</f>
        <v>0</v>
      </c>
      <c r="H141" s="196" t="n">
        <f aca="false">H139-H140</f>
        <v>0</v>
      </c>
      <c r="I141" s="196" t="n">
        <f aca="false">I139-I140</f>
        <v>0</v>
      </c>
      <c r="J141" s="196" t="n">
        <f aca="false">J139-J140</f>
        <v>0</v>
      </c>
      <c r="K141" s="196" t="n">
        <f aca="false">K139-K140</f>
        <v>0</v>
      </c>
      <c r="L141" s="196" t="n">
        <f aca="false">L139-L140</f>
        <v>1</v>
      </c>
      <c r="M141" s="196"/>
      <c r="N141" s="196"/>
      <c r="O141" s="196" t="n">
        <f aca="false">O139-O140</f>
        <v>1</v>
      </c>
    </row>
    <row r="142" customFormat="false" ht="13.5" hidden="false" customHeight="false" outlineLevel="0" collapsed="false">
      <c r="A142" s="199"/>
      <c r="B142" s="200" t="s">
        <v>9</v>
      </c>
      <c r="C142" s="201" t="n">
        <v>0</v>
      </c>
      <c r="D142" s="201" t="n">
        <v>0</v>
      </c>
      <c r="E142" s="201" t="n">
        <v>0</v>
      </c>
      <c r="F142" s="201" t="n">
        <v>0</v>
      </c>
      <c r="G142" s="201" t="n">
        <v>0</v>
      </c>
      <c r="H142" s="201" t="n">
        <v>0</v>
      </c>
      <c r="I142" s="201" t="n">
        <v>0</v>
      </c>
      <c r="J142" s="201" t="n">
        <v>0</v>
      </c>
      <c r="K142" s="201" t="n">
        <v>0</v>
      </c>
      <c r="L142" s="201" t="n">
        <v>0</v>
      </c>
      <c r="M142" s="201"/>
      <c r="N142" s="201"/>
      <c r="O142" s="201" t="n">
        <v>0</v>
      </c>
    </row>
    <row r="143" customFormat="false" ht="12.75" hidden="false" customHeight="false" outlineLevel="0" collapsed="false">
      <c r="A143" s="198"/>
      <c r="B143" s="194" t="n">
        <v>2016</v>
      </c>
      <c r="C143" s="204" t="n">
        <v>13</v>
      </c>
      <c r="D143" s="204" t="n">
        <v>32</v>
      </c>
      <c r="E143" s="204" t="n">
        <v>20</v>
      </c>
      <c r="F143" s="204" t="n">
        <v>24</v>
      </c>
      <c r="G143" s="204" t="n">
        <v>11</v>
      </c>
      <c r="H143" s="204" t="n">
        <v>8</v>
      </c>
      <c r="I143" s="204" t="n">
        <v>12</v>
      </c>
      <c r="J143" s="194" t="n">
        <v>9</v>
      </c>
      <c r="K143" s="194" t="n">
        <v>11</v>
      </c>
      <c r="L143" s="194" t="n">
        <v>16</v>
      </c>
      <c r="M143" s="204"/>
      <c r="N143" s="204"/>
      <c r="O143" s="194" t="n">
        <f aca="false">SUM(C143:N143)</f>
        <v>156</v>
      </c>
    </row>
    <row r="144" customFormat="false" ht="12.75" hidden="false" customHeight="false" outlineLevel="0" collapsed="false">
      <c r="A144" s="195" t="s">
        <v>217</v>
      </c>
      <c r="B144" s="196" t="n">
        <v>2015</v>
      </c>
      <c r="C144" s="196" t="n">
        <v>19</v>
      </c>
      <c r="D144" s="196" t="n">
        <v>19</v>
      </c>
      <c r="E144" s="196" t="n">
        <v>14</v>
      </c>
      <c r="F144" s="196" t="n">
        <v>20</v>
      </c>
      <c r="G144" s="196" t="n">
        <v>24</v>
      </c>
      <c r="H144" s="196" t="n">
        <v>12</v>
      </c>
      <c r="I144" s="196" t="n">
        <v>27</v>
      </c>
      <c r="J144" s="196" t="n">
        <v>24</v>
      </c>
      <c r="K144" s="196" t="n">
        <v>14</v>
      </c>
      <c r="L144" s="196" t="n">
        <v>20</v>
      </c>
      <c r="M144" s="196"/>
      <c r="N144" s="196"/>
      <c r="O144" s="196" t="n">
        <f aca="false">SUM(C144:N144)</f>
        <v>193</v>
      </c>
    </row>
    <row r="145" customFormat="false" ht="12.75" hidden="false" customHeight="false" outlineLevel="0" collapsed="false">
      <c r="A145" s="198"/>
      <c r="B145" s="202" t="s">
        <v>210</v>
      </c>
      <c r="C145" s="196" t="n">
        <f aca="false">C143-C144</f>
        <v>-6</v>
      </c>
      <c r="D145" s="196" t="n">
        <f aca="false">D143-D144</f>
        <v>13</v>
      </c>
      <c r="E145" s="196" t="n">
        <f aca="false">E143-E144</f>
        <v>6</v>
      </c>
      <c r="F145" s="196" t="n">
        <f aca="false">F143-F144</f>
        <v>4</v>
      </c>
      <c r="G145" s="196" t="n">
        <f aca="false">G143-G144</f>
        <v>-13</v>
      </c>
      <c r="H145" s="196" t="n">
        <f aca="false">H143-H144</f>
        <v>-4</v>
      </c>
      <c r="I145" s="196" t="n">
        <f aca="false">I143-I144</f>
        <v>-15</v>
      </c>
      <c r="J145" s="196" t="n">
        <f aca="false">J143-J144</f>
        <v>-15</v>
      </c>
      <c r="K145" s="196" t="n">
        <f aca="false">K143-K144</f>
        <v>-3</v>
      </c>
      <c r="L145" s="196" t="n">
        <f aca="false">L143-L144</f>
        <v>-4</v>
      </c>
      <c r="M145" s="196"/>
      <c r="N145" s="196"/>
      <c r="O145" s="196" t="n">
        <f aca="false">O143-O144</f>
        <v>-37</v>
      </c>
    </row>
    <row r="146" customFormat="false" ht="13.5" hidden="false" customHeight="false" outlineLevel="0" collapsed="false">
      <c r="A146" s="199"/>
      <c r="B146" s="200" t="s">
        <v>9</v>
      </c>
      <c r="C146" s="201" t="n">
        <f aca="false">C145/C144</f>
        <v>-0.315789473684211</v>
      </c>
      <c r="D146" s="201" t="n">
        <f aca="false">D145/D144</f>
        <v>0.68421052631579</v>
      </c>
      <c r="E146" s="201" t="n">
        <f aca="false">E145/E144</f>
        <v>0.428571428571429</v>
      </c>
      <c r="F146" s="201" t="n">
        <f aca="false">F145/F144</f>
        <v>0.2</v>
      </c>
      <c r="G146" s="201" t="n">
        <f aca="false">G145/G144</f>
        <v>-0.541666666666667</v>
      </c>
      <c r="H146" s="201" t="n">
        <f aca="false">H145/H144</f>
        <v>-0.333333333333333</v>
      </c>
      <c r="I146" s="201" t="n">
        <f aca="false">I145/I144</f>
        <v>-0.555555555555556</v>
      </c>
      <c r="J146" s="201" t="n">
        <f aca="false">J145/J144</f>
        <v>-0.625</v>
      </c>
      <c r="K146" s="201" t="n">
        <f aca="false">K145/K144</f>
        <v>-0.214285714285714</v>
      </c>
      <c r="L146" s="201" t="n">
        <f aca="false">L145/L144</f>
        <v>-0.2</v>
      </c>
      <c r="M146" s="201"/>
      <c r="N146" s="201"/>
      <c r="O146" s="201" t="n">
        <f aca="false">O145/O144</f>
        <v>-0.191709844559585</v>
      </c>
    </row>
    <row r="147" customFormat="false" ht="12.75" hidden="false" customHeight="false" outlineLevel="0" collapsed="false">
      <c r="A147" s="198"/>
      <c r="B147" s="194" t="n">
        <v>2016</v>
      </c>
      <c r="C147" s="204" t="n">
        <v>63</v>
      </c>
      <c r="D147" s="204" t="n">
        <v>39</v>
      </c>
      <c r="E147" s="204" t="n">
        <v>30</v>
      </c>
      <c r="F147" s="204" t="n">
        <v>47</v>
      </c>
      <c r="G147" s="204" t="n">
        <v>32</v>
      </c>
      <c r="H147" s="204" t="n">
        <f aca="false">39+1</f>
        <v>40</v>
      </c>
      <c r="I147" s="204" t="n">
        <v>56</v>
      </c>
      <c r="J147" s="194" t="n">
        <v>35</v>
      </c>
      <c r="K147" s="194" t="n">
        <v>47</v>
      </c>
      <c r="L147" s="194" t="n">
        <v>25</v>
      </c>
      <c r="M147" s="204"/>
      <c r="N147" s="204"/>
      <c r="O147" s="194" t="n">
        <f aca="false">SUM(C147:N147)</f>
        <v>414</v>
      </c>
    </row>
    <row r="148" customFormat="false" ht="12.75" hidden="false" customHeight="false" outlineLevel="0" collapsed="false">
      <c r="A148" s="195" t="s">
        <v>218</v>
      </c>
      <c r="B148" s="196" t="n">
        <v>2015</v>
      </c>
      <c r="C148" s="196" t="n">
        <v>40</v>
      </c>
      <c r="D148" s="196" t="n">
        <v>42</v>
      </c>
      <c r="E148" s="196" t="n">
        <v>39</v>
      </c>
      <c r="F148" s="196" t="n">
        <v>27</v>
      </c>
      <c r="G148" s="196" t="n">
        <v>43</v>
      </c>
      <c r="H148" s="196" t="n">
        <v>35</v>
      </c>
      <c r="I148" s="196" t="n">
        <v>35</v>
      </c>
      <c r="J148" s="196" t="n">
        <v>36</v>
      </c>
      <c r="K148" s="196" t="n">
        <v>41</v>
      </c>
      <c r="L148" s="196" t="n">
        <v>40</v>
      </c>
      <c r="M148" s="196"/>
      <c r="N148" s="196"/>
      <c r="O148" s="196" t="n">
        <f aca="false">SUM(C148:N148)</f>
        <v>378</v>
      </c>
    </row>
    <row r="149" customFormat="false" ht="12.75" hidden="false" customHeight="false" outlineLevel="0" collapsed="false">
      <c r="A149" s="195" t="s">
        <v>219</v>
      </c>
      <c r="B149" s="202" t="s">
        <v>210</v>
      </c>
      <c r="C149" s="196" t="n">
        <f aca="false">C147-C148</f>
        <v>23</v>
      </c>
      <c r="D149" s="196" t="n">
        <f aca="false">D147-D148</f>
        <v>-3</v>
      </c>
      <c r="E149" s="196" t="n">
        <f aca="false">E147-E148</f>
        <v>-9</v>
      </c>
      <c r="F149" s="196" t="n">
        <f aca="false">F147-F148</f>
        <v>20</v>
      </c>
      <c r="G149" s="196" t="n">
        <f aca="false">G147-G148</f>
        <v>-11</v>
      </c>
      <c r="H149" s="196" t="n">
        <f aca="false">H147-H148</f>
        <v>5</v>
      </c>
      <c r="I149" s="196" t="n">
        <f aca="false">I147-I148</f>
        <v>21</v>
      </c>
      <c r="J149" s="196" t="n">
        <f aca="false">J147-J148</f>
        <v>-1</v>
      </c>
      <c r="K149" s="196" t="n">
        <f aca="false">K147-K148</f>
        <v>6</v>
      </c>
      <c r="L149" s="196" t="n">
        <f aca="false">L147-L148</f>
        <v>-15</v>
      </c>
      <c r="M149" s="196"/>
      <c r="N149" s="196"/>
      <c r="O149" s="196" t="n">
        <f aca="false">O147-O148</f>
        <v>36</v>
      </c>
    </row>
    <row r="150" customFormat="false" ht="13.5" hidden="false" customHeight="false" outlineLevel="0" collapsed="false">
      <c r="A150" s="199" t="s">
        <v>2</v>
      </c>
      <c r="B150" s="200" t="s">
        <v>9</v>
      </c>
      <c r="C150" s="201" t="n">
        <f aca="false">C149/C148</f>
        <v>0.575</v>
      </c>
      <c r="D150" s="201" t="n">
        <f aca="false">D149/D148</f>
        <v>-0.0714285714285714</v>
      </c>
      <c r="E150" s="201" t="n">
        <f aca="false">E149/E148</f>
        <v>-0.230769230769231</v>
      </c>
      <c r="F150" s="201" t="n">
        <f aca="false">F149/F148</f>
        <v>0.740740740740741</v>
      </c>
      <c r="G150" s="201" t="n">
        <f aca="false">G149/G148</f>
        <v>-0.255813953488372</v>
      </c>
      <c r="H150" s="201" t="n">
        <f aca="false">H149/H148</f>
        <v>0.142857142857143</v>
      </c>
      <c r="I150" s="201" t="n">
        <f aca="false">I149/I148</f>
        <v>0.6</v>
      </c>
      <c r="J150" s="201" t="n">
        <f aca="false">J149/J148</f>
        <v>-0.0277777777777778</v>
      </c>
      <c r="K150" s="201" t="n">
        <f aca="false">K149/K148</f>
        <v>0.146341463414634</v>
      </c>
      <c r="L150" s="201" t="n">
        <f aca="false">L149/L148</f>
        <v>-0.375</v>
      </c>
      <c r="M150" s="201"/>
      <c r="N150" s="201"/>
      <c r="O150" s="201" t="n">
        <f aca="false">O149/O148</f>
        <v>0.0952380952380952</v>
      </c>
    </row>
    <row r="151" customFormat="false" ht="12.75" hidden="false" customHeight="false" outlineLevel="0" collapsed="false">
      <c r="A151" s="198"/>
      <c r="B151" s="194" t="n">
        <v>2016</v>
      </c>
      <c r="C151" s="204" t="n">
        <v>53</v>
      </c>
      <c r="D151" s="204" t="n">
        <v>46</v>
      </c>
      <c r="E151" s="204" t="n">
        <v>52</v>
      </c>
      <c r="F151" s="204" t="n">
        <v>53</v>
      </c>
      <c r="G151" s="204" t="n">
        <v>40</v>
      </c>
      <c r="H151" s="204" t="n">
        <v>81</v>
      </c>
      <c r="I151" s="204" t="n">
        <v>58</v>
      </c>
      <c r="J151" s="194" t="n">
        <v>53</v>
      </c>
      <c r="K151" s="194" t="n">
        <v>54</v>
      </c>
      <c r="L151" s="194" t="n">
        <v>58</v>
      </c>
      <c r="M151" s="204"/>
      <c r="N151" s="204"/>
      <c r="O151" s="194" t="n">
        <f aca="false">SUM(C151:N151)</f>
        <v>548</v>
      </c>
    </row>
    <row r="152" customFormat="false" ht="12.75" hidden="false" customHeight="false" outlineLevel="0" collapsed="false">
      <c r="A152" s="195" t="s">
        <v>220</v>
      </c>
      <c r="B152" s="196" t="n">
        <v>2015</v>
      </c>
      <c r="C152" s="196" t="n">
        <v>80</v>
      </c>
      <c r="D152" s="196" t="n">
        <v>47</v>
      </c>
      <c r="E152" s="196" t="n">
        <v>70</v>
      </c>
      <c r="F152" s="196" t="n">
        <v>70</v>
      </c>
      <c r="G152" s="196" t="n">
        <v>51</v>
      </c>
      <c r="H152" s="196" t="n">
        <v>49</v>
      </c>
      <c r="I152" s="196" t="n">
        <v>44</v>
      </c>
      <c r="J152" s="196" t="n">
        <v>52</v>
      </c>
      <c r="K152" s="196" t="n">
        <v>49</v>
      </c>
      <c r="L152" s="196" t="n">
        <v>57</v>
      </c>
      <c r="M152" s="196"/>
      <c r="N152" s="196"/>
      <c r="O152" s="196" t="n">
        <f aca="false">SUM(C152:N152)</f>
        <v>569</v>
      </c>
    </row>
    <row r="153" customFormat="false" ht="12.75" hidden="false" customHeight="false" outlineLevel="0" collapsed="false">
      <c r="A153" s="198"/>
      <c r="B153" s="202" t="s">
        <v>210</v>
      </c>
      <c r="C153" s="196" t="n">
        <f aca="false">C151-C152</f>
        <v>-27</v>
      </c>
      <c r="D153" s="196" t="n">
        <f aca="false">D151-D152</f>
        <v>-1</v>
      </c>
      <c r="E153" s="196" t="n">
        <f aca="false">E151-E152</f>
        <v>-18</v>
      </c>
      <c r="F153" s="196" t="n">
        <f aca="false">F151-F152</f>
        <v>-17</v>
      </c>
      <c r="G153" s="196" t="n">
        <f aca="false">G151-G152</f>
        <v>-11</v>
      </c>
      <c r="H153" s="196" t="n">
        <f aca="false">H151-H152</f>
        <v>32</v>
      </c>
      <c r="I153" s="196" t="n">
        <f aca="false">I151-I152</f>
        <v>14</v>
      </c>
      <c r="J153" s="196" t="n">
        <f aca="false">J151-J152</f>
        <v>1</v>
      </c>
      <c r="K153" s="196" t="n">
        <f aca="false">K151-K152</f>
        <v>5</v>
      </c>
      <c r="L153" s="196" t="n">
        <f aca="false">L151-L152</f>
        <v>1</v>
      </c>
      <c r="M153" s="196"/>
      <c r="N153" s="196"/>
      <c r="O153" s="196" t="n">
        <f aca="false">O151-O152</f>
        <v>-21</v>
      </c>
    </row>
    <row r="154" customFormat="false" ht="13.5" hidden="false" customHeight="false" outlineLevel="0" collapsed="false">
      <c r="A154" s="199"/>
      <c r="B154" s="200" t="s">
        <v>9</v>
      </c>
      <c r="C154" s="201" t="n">
        <f aca="false">C153/C152</f>
        <v>-0.3375</v>
      </c>
      <c r="D154" s="201" t="n">
        <f aca="false">D153/D152</f>
        <v>-0.0212765957446809</v>
      </c>
      <c r="E154" s="201" t="n">
        <f aca="false">E153/E152</f>
        <v>-0.257142857142857</v>
      </c>
      <c r="F154" s="201" t="n">
        <f aca="false">F153/F152</f>
        <v>-0.242857142857143</v>
      </c>
      <c r="G154" s="201" t="n">
        <f aca="false">G153/G152</f>
        <v>-0.215686274509804</v>
      </c>
      <c r="H154" s="201" t="n">
        <f aca="false">H153/H152</f>
        <v>0.653061224489796</v>
      </c>
      <c r="I154" s="201" t="n">
        <f aca="false">I153/I152</f>
        <v>0.318181818181818</v>
      </c>
      <c r="J154" s="201" t="n">
        <f aca="false">J153/J152</f>
        <v>0.0192307692307692</v>
      </c>
      <c r="K154" s="201" t="n">
        <f aca="false">K153/K152</f>
        <v>0.102040816326531</v>
      </c>
      <c r="L154" s="201" t="n">
        <f aca="false">L153/L152</f>
        <v>0.0175438596491228</v>
      </c>
      <c r="M154" s="201"/>
      <c r="N154" s="201"/>
      <c r="O154" s="201" t="n">
        <f aca="false">O153/O152</f>
        <v>-0.0369068541300527</v>
      </c>
    </row>
    <row r="155" customFormat="false" ht="12.75" hidden="false" customHeight="false" outlineLevel="0" collapsed="false">
      <c r="A155" s="198"/>
      <c r="B155" s="194" t="n">
        <v>2016</v>
      </c>
      <c r="C155" s="204" t="n">
        <v>210</v>
      </c>
      <c r="D155" s="204" t="n">
        <v>177</v>
      </c>
      <c r="E155" s="204" t="n">
        <v>186</v>
      </c>
      <c r="F155" s="204" t="n">
        <v>182</v>
      </c>
      <c r="G155" s="204" t="n">
        <v>137</v>
      </c>
      <c r="H155" s="204" t="n">
        <v>148</v>
      </c>
      <c r="I155" s="204" t="n">
        <v>151</v>
      </c>
      <c r="J155" s="194" t="n">
        <v>169</v>
      </c>
      <c r="K155" s="194" t="n">
        <v>169</v>
      </c>
      <c r="L155" s="194" t="n">
        <v>173</v>
      </c>
      <c r="M155" s="204"/>
      <c r="N155" s="204"/>
      <c r="O155" s="194" t="n">
        <f aca="false">SUM(C155:N155)</f>
        <v>1702</v>
      </c>
    </row>
    <row r="156" customFormat="false" ht="12.75" hidden="false" customHeight="false" outlineLevel="0" collapsed="false">
      <c r="A156" s="195" t="s">
        <v>221</v>
      </c>
      <c r="B156" s="196" t="n">
        <v>2015</v>
      </c>
      <c r="C156" s="196" t="n">
        <v>229</v>
      </c>
      <c r="D156" s="196" t="n">
        <v>214</v>
      </c>
      <c r="E156" s="196" t="n">
        <v>223</v>
      </c>
      <c r="F156" s="196" t="n">
        <v>188</v>
      </c>
      <c r="G156" s="196" t="n">
        <v>162</v>
      </c>
      <c r="H156" s="196" t="n">
        <v>174</v>
      </c>
      <c r="I156" s="196" t="n">
        <v>167</v>
      </c>
      <c r="J156" s="196" t="n">
        <v>152</v>
      </c>
      <c r="K156" s="196" t="n">
        <v>154</v>
      </c>
      <c r="L156" s="196" t="n">
        <v>171</v>
      </c>
      <c r="M156" s="196"/>
      <c r="N156" s="196"/>
      <c r="O156" s="196" t="n">
        <f aca="false">SUM(C156:N156)</f>
        <v>1834</v>
      </c>
    </row>
    <row r="157" customFormat="false" ht="12.75" hidden="false" customHeight="false" outlineLevel="0" collapsed="false">
      <c r="A157" s="195" t="s">
        <v>222</v>
      </c>
      <c r="B157" s="202" t="s">
        <v>210</v>
      </c>
      <c r="C157" s="196" t="n">
        <f aca="false">C155-C156</f>
        <v>-19</v>
      </c>
      <c r="D157" s="196" t="n">
        <f aca="false">D155-D156</f>
        <v>-37</v>
      </c>
      <c r="E157" s="196" t="n">
        <f aca="false">E155-E156</f>
        <v>-37</v>
      </c>
      <c r="F157" s="196" t="n">
        <f aca="false">F155-F156</f>
        <v>-6</v>
      </c>
      <c r="G157" s="196" t="n">
        <f aca="false">G155-G156</f>
        <v>-25</v>
      </c>
      <c r="H157" s="196" t="n">
        <f aca="false">H155-H156</f>
        <v>-26</v>
      </c>
      <c r="I157" s="196" t="n">
        <f aca="false">I155-I156</f>
        <v>-16</v>
      </c>
      <c r="J157" s="196" t="n">
        <f aca="false">J155-J156</f>
        <v>17</v>
      </c>
      <c r="K157" s="196" t="n">
        <f aca="false">K155-K156</f>
        <v>15</v>
      </c>
      <c r="L157" s="196" t="n">
        <f aca="false">L155-L156</f>
        <v>2</v>
      </c>
      <c r="M157" s="196"/>
      <c r="N157" s="196"/>
      <c r="O157" s="196" t="n">
        <f aca="false">O155-O156</f>
        <v>-132</v>
      </c>
    </row>
    <row r="158" customFormat="false" ht="13.5" hidden="false" customHeight="false" outlineLevel="0" collapsed="false">
      <c r="A158" s="199"/>
      <c r="B158" s="200" t="s">
        <v>9</v>
      </c>
      <c r="C158" s="201" t="n">
        <f aca="false">C157/C156</f>
        <v>-0.0829694323144105</v>
      </c>
      <c r="D158" s="201" t="n">
        <f aca="false">D157/D156</f>
        <v>-0.172897196261682</v>
      </c>
      <c r="E158" s="201" t="n">
        <f aca="false">E157/E156</f>
        <v>-0.165919282511211</v>
      </c>
      <c r="F158" s="201" t="n">
        <f aca="false">F157/F156</f>
        <v>-0.0319148936170213</v>
      </c>
      <c r="G158" s="201" t="n">
        <f aca="false">G157/G156</f>
        <v>-0.154320987654321</v>
      </c>
      <c r="H158" s="201" t="n">
        <f aca="false">H157/H156</f>
        <v>-0.149425287356322</v>
      </c>
      <c r="I158" s="201" t="n">
        <f aca="false">I157/I156</f>
        <v>-0.0958083832335329</v>
      </c>
      <c r="J158" s="201" t="n">
        <f aca="false">J157/J156</f>
        <v>0.111842105263158</v>
      </c>
      <c r="K158" s="201" t="n">
        <f aca="false">K157/K156</f>
        <v>0.0974025974025974</v>
      </c>
      <c r="L158" s="201" t="n">
        <f aca="false">L157/L156</f>
        <v>0.0116959064327485</v>
      </c>
      <c r="M158" s="201"/>
      <c r="N158" s="201"/>
      <c r="O158" s="201" t="n">
        <f aca="false">O157/O156</f>
        <v>-0.0719738276990185</v>
      </c>
    </row>
    <row r="159" customFormat="false" ht="12.75" hidden="false" customHeight="false" outlineLevel="0" collapsed="false">
      <c r="A159" s="198"/>
      <c r="B159" s="194" t="n">
        <v>2016</v>
      </c>
      <c r="C159" s="204" t="n">
        <v>25</v>
      </c>
      <c r="D159" s="204" t="n">
        <v>15</v>
      </c>
      <c r="E159" s="204" t="n">
        <v>5</v>
      </c>
      <c r="F159" s="204" t="n">
        <v>11</v>
      </c>
      <c r="G159" s="204" t="n">
        <v>6</v>
      </c>
      <c r="H159" s="204" t="n">
        <v>5</v>
      </c>
      <c r="I159" s="204" t="n">
        <v>11</v>
      </c>
      <c r="J159" s="194" t="n">
        <v>7</v>
      </c>
      <c r="K159" s="194" t="n">
        <v>6</v>
      </c>
      <c r="L159" s="194" t="n">
        <v>8</v>
      </c>
      <c r="M159" s="204"/>
      <c r="N159" s="204"/>
      <c r="O159" s="194" t="n">
        <f aca="false">SUM(C159:N159)</f>
        <v>99</v>
      </c>
    </row>
    <row r="160" customFormat="false" ht="12.75" hidden="false" customHeight="false" outlineLevel="0" collapsed="false">
      <c r="A160" s="195" t="s">
        <v>223</v>
      </c>
      <c r="B160" s="196" t="n">
        <v>2015</v>
      </c>
      <c r="C160" s="196" t="n">
        <v>14</v>
      </c>
      <c r="D160" s="196" t="n">
        <v>13</v>
      </c>
      <c r="E160" s="196" t="n">
        <v>7</v>
      </c>
      <c r="F160" s="196" t="n">
        <v>13</v>
      </c>
      <c r="G160" s="196" t="n">
        <v>15</v>
      </c>
      <c r="H160" s="196" t="n">
        <v>4</v>
      </c>
      <c r="I160" s="196" t="n">
        <v>9</v>
      </c>
      <c r="J160" s="196" t="n">
        <v>10</v>
      </c>
      <c r="K160" s="196" t="n">
        <v>9</v>
      </c>
      <c r="L160" s="196" t="n">
        <v>7</v>
      </c>
      <c r="M160" s="196"/>
      <c r="N160" s="196"/>
      <c r="O160" s="196" t="n">
        <f aca="false">SUM(C160:N160)</f>
        <v>101</v>
      </c>
    </row>
    <row r="161" customFormat="false" ht="12.75" hidden="false" customHeight="false" outlineLevel="0" collapsed="false">
      <c r="A161" s="195" t="s">
        <v>224</v>
      </c>
      <c r="B161" s="202" t="s">
        <v>210</v>
      </c>
      <c r="C161" s="196" t="n">
        <f aca="false">C159-C160</f>
        <v>11</v>
      </c>
      <c r="D161" s="196" t="n">
        <f aca="false">D159-D160</f>
        <v>2</v>
      </c>
      <c r="E161" s="196" t="n">
        <f aca="false">E159-E160</f>
        <v>-2</v>
      </c>
      <c r="F161" s="196" t="n">
        <f aca="false">F159-F160</f>
        <v>-2</v>
      </c>
      <c r="G161" s="196" t="n">
        <f aca="false">G159-G160</f>
        <v>-9</v>
      </c>
      <c r="H161" s="196" t="n">
        <f aca="false">H159-H160</f>
        <v>1</v>
      </c>
      <c r="I161" s="196" t="n">
        <f aca="false">I159-I160</f>
        <v>2</v>
      </c>
      <c r="J161" s="196" t="n">
        <f aca="false">J159-J160</f>
        <v>-3</v>
      </c>
      <c r="K161" s="196" t="n">
        <f aca="false">K159-K160</f>
        <v>-3</v>
      </c>
      <c r="L161" s="196" t="n">
        <f aca="false">L159-L160</f>
        <v>1</v>
      </c>
      <c r="M161" s="196"/>
      <c r="N161" s="196"/>
      <c r="O161" s="196" t="n">
        <f aca="false">O159-O160</f>
        <v>-2</v>
      </c>
    </row>
    <row r="162" customFormat="false" ht="13.5" hidden="false" customHeight="false" outlineLevel="0" collapsed="false">
      <c r="A162" s="199"/>
      <c r="B162" s="200" t="s">
        <v>9</v>
      </c>
      <c r="C162" s="201" t="n">
        <f aca="false">C161/C160</f>
        <v>0.785714285714286</v>
      </c>
      <c r="D162" s="201" t="n">
        <f aca="false">D161/D160</f>
        <v>0.153846153846154</v>
      </c>
      <c r="E162" s="201" t="n">
        <f aca="false">E161/E160</f>
        <v>-0.285714285714286</v>
      </c>
      <c r="F162" s="201" t="n">
        <f aca="false">F161/F160</f>
        <v>-0.153846153846154</v>
      </c>
      <c r="G162" s="201" t="n">
        <f aca="false">G161/G160</f>
        <v>-0.6</v>
      </c>
      <c r="H162" s="201" t="n">
        <f aca="false">H161/H160</f>
        <v>0.25</v>
      </c>
      <c r="I162" s="201" t="n">
        <f aca="false">I161/I160</f>
        <v>0.222222222222222</v>
      </c>
      <c r="J162" s="201" t="n">
        <f aca="false">J161/J160</f>
        <v>-0.3</v>
      </c>
      <c r="K162" s="201" t="n">
        <f aca="false">K161/K160</f>
        <v>-0.333333333333333</v>
      </c>
      <c r="L162" s="201" t="n">
        <f aca="false">L161/L160</f>
        <v>0.142857142857143</v>
      </c>
      <c r="M162" s="201"/>
      <c r="N162" s="201"/>
      <c r="O162" s="201" t="n">
        <f aca="false">O161/O160</f>
        <v>-0.0198019801980198</v>
      </c>
    </row>
    <row r="165" customFormat="false" ht="13.5" hidden="false" customHeight="false" outlineLevel="0" collapsed="false">
      <c r="A165" s="210" t="s">
        <v>225</v>
      </c>
      <c r="B165" s="209"/>
      <c r="C165" s="209"/>
    </row>
    <row r="166" customFormat="false" ht="13.5" hidden="false" customHeight="false" outlineLevel="0" collapsed="false">
      <c r="A166" s="0" t="s">
        <v>2</v>
      </c>
      <c r="B166" s="192" t="s">
        <v>196</v>
      </c>
      <c r="C166" s="192" t="s">
        <v>197</v>
      </c>
      <c r="D166" s="192" t="s">
        <v>198</v>
      </c>
      <c r="E166" s="192" t="s">
        <v>199</v>
      </c>
      <c r="F166" s="192" t="s">
        <v>200</v>
      </c>
      <c r="G166" s="192" t="s">
        <v>201</v>
      </c>
      <c r="H166" s="192" t="s">
        <v>202</v>
      </c>
      <c r="I166" s="192" t="s">
        <v>203</v>
      </c>
      <c r="J166" s="192" t="s">
        <v>204</v>
      </c>
      <c r="K166" s="192" t="s">
        <v>205</v>
      </c>
      <c r="L166" s="192" t="s">
        <v>206</v>
      </c>
      <c r="M166" s="192" t="s">
        <v>207</v>
      </c>
      <c r="N166" s="211" t="s">
        <v>208</v>
      </c>
      <c r="O166" s="192" t="s">
        <v>52</v>
      </c>
    </row>
    <row r="167" customFormat="false" ht="12.75" hidden="false" customHeight="false" outlineLevel="0" collapsed="false">
      <c r="A167" s="193"/>
      <c r="B167" s="194" t="n">
        <v>2016</v>
      </c>
      <c r="C167" s="194" t="n">
        <f aca="false">SUM(C171+C175+C183+C187+C191+C195+C199)</f>
        <v>134</v>
      </c>
      <c r="D167" s="194" t="n">
        <f aca="false">SUM(D171+D175+D183+D187+D191+D195+D199)</f>
        <v>107</v>
      </c>
      <c r="E167" s="194" t="n">
        <f aca="false">SUM(E171+E175+E183+E187+E191+E195+E199)</f>
        <v>108</v>
      </c>
      <c r="F167" s="194" t="n">
        <f aca="false">SUM(F171+F175+F183+F187+F191+F195+F199)</f>
        <v>105</v>
      </c>
      <c r="G167" s="194" t="n">
        <f aca="false">SUM(G171+G175+G183+G187+G191+G195+G199)</f>
        <v>113</v>
      </c>
      <c r="H167" s="194" t="n">
        <f aca="false">SUM(H171+H175+H183+H187+H191+H195+H199)</f>
        <v>117</v>
      </c>
      <c r="I167" s="194" t="n">
        <f aca="false">SUM(I171+I175+I183+I187+I191+I195+I199)</f>
        <v>106</v>
      </c>
      <c r="J167" s="194" t="n">
        <f aca="false">SUM(J171+J175+J183+J187+J191+J195+J199)</f>
        <v>145</v>
      </c>
      <c r="K167" s="194" t="n">
        <f aca="false">SUM(K171+K175+K183+K187+K191+K195+K199)</f>
        <v>105</v>
      </c>
      <c r="L167" s="194" t="n">
        <f aca="false">SUM(L171+L175+L183+L187+L191+L195+L199)</f>
        <v>131</v>
      </c>
      <c r="M167" s="194"/>
      <c r="N167" s="212"/>
      <c r="O167" s="194" t="n">
        <f aca="false">SUM(O171+O175+O183+O187+O191+O195+O199)</f>
        <v>1171</v>
      </c>
    </row>
    <row r="168" customFormat="false" ht="12.75" hidden="false" customHeight="false" outlineLevel="0" collapsed="false">
      <c r="A168" s="195" t="s">
        <v>52</v>
      </c>
      <c r="B168" s="196" t="n">
        <v>2015</v>
      </c>
      <c r="C168" s="196" t="n">
        <f aca="false">SUM(C172+C176+C180+C184+C188+C192+C196+C200)</f>
        <v>195</v>
      </c>
      <c r="D168" s="196" t="n">
        <f aca="false">SUM(D172+D176+D180+D184+D188+D192+D196+D200)</f>
        <v>157</v>
      </c>
      <c r="E168" s="196" t="n">
        <f aca="false">SUM(E172+E176+E180+E184+E188+E192+E196+E200)</f>
        <v>141</v>
      </c>
      <c r="F168" s="196" t="n">
        <f aca="false">SUM(F172+F176+F180+F184+F188+F192+F196+F200)</f>
        <v>126</v>
      </c>
      <c r="G168" s="196" t="n">
        <f aca="false">SUM(G172+G176+G180+G184+G188+G192+G196+G200)</f>
        <v>108</v>
      </c>
      <c r="H168" s="196" t="n">
        <f aca="false">SUM(H172+H176+H180+H184+H188+H192+H196+H200)</f>
        <v>120</v>
      </c>
      <c r="I168" s="196" t="n">
        <f aca="false">SUM(I172+I176+I180+I184+I188+I192+I196+I200)</f>
        <v>117</v>
      </c>
      <c r="J168" s="196" t="n">
        <f aca="false">SUM(J172+J176+J180+J184+J188+J192+J196+J200)</f>
        <v>140</v>
      </c>
      <c r="K168" s="196" t="n">
        <f aca="false">SUM(K172+K176+K180+K184+K188+K192+K196+K200)</f>
        <v>123</v>
      </c>
      <c r="L168" s="196" t="n">
        <f aca="false">SUM(L172+L176+L180+L184+L188+L192+L196+L200)</f>
        <v>131</v>
      </c>
      <c r="M168" s="196"/>
      <c r="N168" s="213"/>
      <c r="O168" s="196" t="n">
        <f aca="false">SUM(C168:N168)</f>
        <v>1358</v>
      </c>
    </row>
    <row r="169" customFormat="false" ht="12.75" hidden="false" customHeight="false" outlineLevel="0" collapsed="false">
      <c r="A169" s="195" t="s">
        <v>209</v>
      </c>
      <c r="B169" s="197" t="s">
        <v>210</v>
      </c>
      <c r="C169" s="196" t="n">
        <f aca="false">C167-C168</f>
        <v>-61</v>
      </c>
      <c r="D169" s="196" t="n">
        <f aca="false">D167-D168</f>
        <v>-50</v>
      </c>
      <c r="E169" s="196" t="n">
        <f aca="false">E167-E168</f>
        <v>-33</v>
      </c>
      <c r="F169" s="196" t="n">
        <f aca="false">F167-F168</f>
        <v>-21</v>
      </c>
      <c r="G169" s="196" t="n">
        <f aca="false">G167-G168</f>
        <v>5</v>
      </c>
      <c r="H169" s="196" t="n">
        <f aca="false">H167-H168</f>
        <v>-3</v>
      </c>
      <c r="I169" s="196" t="n">
        <f aca="false">I167-I168</f>
        <v>-11</v>
      </c>
      <c r="J169" s="196" t="n">
        <f aca="false">J167-J168</f>
        <v>5</v>
      </c>
      <c r="K169" s="196" t="n">
        <f aca="false">K167-K168</f>
        <v>-18</v>
      </c>
      <c r="L169" s="196" t="n">
        <f aca="false">L167-L168</f>
        <v>0</v>
      </c>
      <c r="M169" s="196"/>
      <c r="N169" s="213"/>
      <c r="O169" s="196" t="n">
        <f aca="false">O167-O168</f>
        <v>-187</v>
      </c>
    </row>
    <row r="170" customFormat="false" ht="13.5" hidden="false" customHeight="false" outlineLevel="0" collapsed="false">
      <c r="A170" s="199"/>
      <c r="B170" s="200" t="s">
        <v>9</v>
      </c>
      <c r="C170" s="201" t="n">
        <f aca="false">C169/C168</f>
        <v>-0.312820512820513</v>
      </c>
      <c r="D170" s="201" t="n">
        <f aca="false">D169/D168</f>
        <v>-0.318471337579618</v>
      </c>
      <c r="E170" s="201" t="n">
        <f aca="false">E169/E168</f>
        <v>-0.234042553191489</v>
      </c>
      <c r="F170" s="201" t="n">
        <f aca="false">F169/F168</f>
        <v>-0.166666666666667</v>
      </c>
      <c r="G170" s="201" t="n">
        <f aca="false">G169/G168</f>
        <v>0.0462962962962963</v>
      </c>
      <c r="H170" s="201" t="n">
        <f aca="false">H169/H168</f>
        <v>-0.025</v>
      </c>
      <c r="I170" s="201" t="n">
        <f aca="false">I169/I168</f>
        <v>-0.094017094017094</v>
      </c>
      <c r="J170" s="201" t="n">
        <f aca="false">J169/J168</f>
        <v>0.0357142857142857</v>
      </c>
      <c r="K170" s="201" t="n">
        <f aca="false">K169/K168</f>
        <v>-0.146341463414634</v>
      </c>
      <c r="L170" s="201" t="n">
        <f aca="false">L169/L168</f>
        <v>0</v>
      </c>
      <c r="M170" s="201"/>
      <c r="N170" s="214"/>
      <c r="O170" s="201" t="n">
        <f aca="false">O169/O168</f>
        <v>-0.137702503681885</v>
      </c>
    </row>
    <row r="171" customFormat="false" ht="12.75" hidden="false" customHeight="false" outlineLevel="0" collapsed="false">
      <c r="A171" s="198"/>
      <c r="B171" s="194" t="n">
        <v>2016</v>
      </c>
      <c r="C171" s="194" t="n">
        <v>2</v>
      </c>
      <c r="D171" s="194" t="n">
        <v>2</v>
      </c>
      <c r="E171" s="194" t="n">
        <v>3</v>
      </c>
      <c r="F171" s="194" t="n">
        <v>2</v>
      </c>
      <c r="G171" s="194" t="n">
        <v>2</v>
      </c>
      <c r="H171" s="194" t="n">
        <v>4</v>
      </c>
      <c r="I171" s="194" t="n">
        <v>2</v>
      </c>
      <c r="J171" s="194" t="n">
        <v>6</v>
      </c>
      <c r="K171" s="194" t="n">
        <v>0</v>
      </c>
      <c r="L171" s="194" t="n">
        <v>2</v>
      </c>
      <c r="M171" s="194"/>
      <c r="N171" s="212"/>
      <c r="O171" s="194" t="n">
        <f aca="false">SUM(C171:N171)</f>
        <v>25</v>
      </c>
    </row>
    <row r="172" customFormat="false" ht="12.75" hidden="false" customHeight="false" outlineLevel="0" collapsed="false">
      <c r="A172" s="195" t="s">
        <v>211</v>
      </c>
      <c r="B172" s="196" t="n">
        <v>2015</v>
      </c>
      <c r="C172" s="196" t="n">
        <v>2</v>
      </c>
      <c r="D172" s="196" t="n">
        <v>0</v>
      </c>
      <c r="E172" s="196" t="n">
        <v>4</v>
      </c>
      <c r="F172" s="196" t="n">
        <v>0</v>
      </c>
      <c r="G172" s="196" t="n">
        <v>3</v>
      </c>
      <c r="H172" s="196" t="n">
        <v>1</v>
      </c>
      <c r="I172" s="196" t="n">
        <v>2</v>
      </c>
      <c r="J172" s="196" t="n">
        <v>4</v>
      </c>
      <c r="K172" s="196" t="n">
        <v>3</v>
      </c>
      <c r="L172" s="196" t="n">
        <v>5</v>
      </c>
      <c r="M172" s="196"/>
      <c r="N172" s="213"/>
      <c r="O172" s="196" t="n">
        <f aca="false">SUM(C172:N172)</f>
        <v>24</v>
      </c>
    </row>
    <row r="173" customFormat="false" ht="12.75" hidden="false" customHeight="false" outlineLevel="0" collapsed="false">
      <c r="A173" s="195" t="s">
        <v>212</v>
      </c>
      <c r="B173" s="202" t="s">
        <v>210</v>
      </c>
      <c r="C173" s="196" t="n">
        <f aca="false">C171-C172</f>
        <v>0</v>
      </c>
      <c r="D173" s="196" t="n">
        <f aca="false">D171-D172</f>
        <v>2</v>
      </c>
      <c r="E173" s="196" t="n">
        <f aca="false">E171-E172</f>
        <v>-1</v>
      </c>
      <c r="F173" s="196" t="n">
        <f aca="false">F171-F172</f>
        <v>2</v>
      </c>
      <c r="G173" s="196" t="n">
        <f aca="false">G171-G172</f>
        <v>-1</v>
      </c>
      <c r="H173" s="196" t="n">
        <f aca="false">H171-H172</f>
        <v>3</v>
      </c>
      <c r="I173" s="196" t="n">
        <f aca="false">I171-I172</f>
        <v>0</v>
      </c>
      <c r="J173" s="196" t="n">
        <f aca="false">J171-J172</f>
        <v>2</v>
      </c>
      <c r="K173" s="196" t="n">
        <f aca="false">K171-K172</f>
        <v>-3</v>
      </c>
      <c r="L173" s="196" t="n">
        <f aca="false">L171-L172</f>
        <v>-3</v>
      </c>
      <c r="M173" s="196"/>
      <c r="N173" s="213"/>
      <c r="O173" s="196" t="n">
        <f aca="false">O171-O172</f>
        <v>1</v>
      </c>
    </row>
    <row r="174" customFormat="false" ht="13.5" hidden="false" customHeight="false" outlineLevel="0" collapsed="false">
      <c r="A174" s="199"/>
      <c r="B174" s="200" t="s">
        <v>9</v>
      </c>
      <c r="C174" s="201" t="n">
        <f aca="false">C173/C172</f>
        <v>0</v>
      </c>
      <c r="D174" s="201" t="n">
        <v>0</v>
      </c>
      <c r="E174" s="201" t="n">
        <f aca="false">E173/E172</f>
        <v>-0.25</v>
      </c>
      <c r="F174" s="201" t="n">
        <v>0</v>
      </c>
      <c r="G174" s="201" t="n">
        <f aca="false">G173/G172</f>
        <v>-0.333333333333333</v>
      </c>
      <c r="H174" s="201" t="n">
        <f aca="false">H173/H172</f>
        <v>3</v>
      </c>
      <c r="I174" s="201" t="n">
        <f aca="false">I173/I172</f>
        <v>0</v>
      </c>
      <c r="J174" s="201" t="n">
        <f aca="false">J173/J172</f>
        <v>0.5</v>
      </c>
      <c r="K174" s="201" t="n">
        <f aca="false">K173/K172</f>
        <v>-1</v>
      </c>
      <c r="L174" s="201" t="n">
        <f aca="false">L173/L172</f>
        <v>-0.6</v>
      </c>
      <c r="M174" s="201"/>
      <c r="N174" s="214"/>
      <c r="O174" s="201" t="n">
        <f aca="false">O173/O172</f>
        <v>0.0416666666666667</v>
      </c>
    </row>
    <row r="175" customFormat="false" ht="12.75" hidden="false" customHeight="false" outlineLevel="0" collapsed="false">
      <c r="A175" s="198"/>
      <c r="B175" s="194" t="n">
        <v>2016</v>
      </c>
      <c r="C175" s="204" t="n">
        <v>0</v>
      </c>
      <c r="D175" s="204" t="n">
        <v>1</v>
      </c>
      <c r="E175" s="204" t="n">
        <v>0</v>
      </c>
      <c r="F175" s="204" t="n">
        <v>0</v>
      </c>
      <c r="G175" s="204" t="n">
        <v>0</v>
      </c>
      <c r="H175" s="204" t="n">
        <v>1</v>
      </c>
      <c r="I175" s="204" t="n">
        <v>0</v>
      </c>
      <c r="J175" s="204" t="n">
        <v>1</v>
      </c>
      <c r="K175" s="204" t="n">
        <v>3</v>
      </c>
      <c r="L175" s="204" t="n">
        <v>3</v>
      </c>
      <c r="M175" s="204"/>
      <c r="N175" s="215"/>
      <c r="O175" s="194" t="n">
        <f aca="false">SUM(C175:N175)</f>
        <v>9</v>
      </c>
    </row>
    <row r="176" customFormat="false" ht="12.75" hidden="false" customHeight="false" outlineLevel="0" collapsed="false">
      <c r="A176" s="203" t="s">
        <v>213</v>
      </c>
      <c r="B176" s="196" t="n">
        <v>2015</v>
      </c>
      <c r="C176" s="196" t="n">
        <v>1</v>
      </c>
      <c r="D176" s="196" t="n">
        <v>0</v>
      </c>
      <c r="E176" s="196" t="n">
        <v>1</v>
      </c>
      <c r="F176" s="196" t="n">
        <v>2</v>
      </c>
      <c r="G176" s="196" t="n">
        <v>1</v>
      </c>
      <c r="H176" s="196" t="n">
        <v>1</v>
      </c>
      <c r="I176" s="196" t="n">
        <v>0</v>
      </c>
      <c r="J176" s="196" t="n">
        <v>1</v>
      </c>
      <c r="K176" s="196" t="n">
        <v>0</v>
      </c>
      <c r="L176" s="196" t="n">
        <v>0</v>
      </c>
      <c r="M176" s="196"/>
      <c r="N176" s="213"/>
      <c r="O176" s="196" t="n">
        <f aca="false">SUM(C176:N176)</f>
        <v>7</v>
      </c>
    </row>
    <row r="177" customFormat="false" ht="12.75" hidden="false" customHeight="false" outlineLevel="0" collapsed="false">
      <c r="A177" s="195" t="s">
        <v>214</v>
      </c>
      <c r="B177" s="202" t="s">
        <v>210</v>
      </c>
      <c r="C177" s="196" t="n">
        <f aca="false">C175-C176</f>
        <v>-1</v>
      </c>
      <c r="D177" s="196" t="n">
        <f aca="false">D175-D176</f>
        <v>1</v>
      </c>
      <c r="E177" s="196" t="n">
        <f aca="false">E175-E176</f>
        <v>-1</v>
      </c>
      <c r="F177" s="196" t="n">
        <f aca="false">F175-F176</f>
        <v>-2</v>
      </c>
      <c r="G177" s="196" t="n">
        <f aca="false">G175-G176</f>
        <v>-1</v>
      </c>
      <c r="H177" s="196" t="n">
        <f aca="false">H175-H176</f>
        <v>0</v>
      </c>
      <c r="I177" s="196" t="n">
        <f aca="false">I175-I176</f>
        <v>0</v>
      </c>
      <c r="J177" s="196" t="n">
        <f aca="false">J175-J176</f>
        <v>0</v>
      </c>
      <c r="K177" s="196" t="n">
        <f aca="false">K175-K176</f>
        <v>3</v>
      </c>
      <c r="L177" s="196" t="n">
        <f aca="false">L175-L176</f>
        <v>3</v>
      </c>
      <c r="M177" s="196"/>
      <c r="N177" s="213"/>
      <c r="O177" s="196" t="n">
        <f aca="false">O175-O176</f>
        <v>2</v>
      </c>
    </row>
    <row r="178" customFormat="false" ht="13.5" hidden="false" customHeight="false" outlineLevel="0" collapsed="false">
      <c r="A178" s="199"/>
      <c r="B178" s="200" t="s">
        <v>9</v>
      </c>
      <c r="C178" s="201" t="n">
        <f aca="false">C177/C176</f>
        <v>-1</v>
      </c>
      <c r="D178" s="201" t="n">
        <v>0</v>
      </c>
      <c r="E178" s="201" t="n">
        <f aca="false">E177/E176</f>
        <v>-1</v>
      </c>
      <c r="F178" s="201" t="n">
        <f aca="false">F177/F176</f>
        <v>-1</v>
      </c>
      <c r="G178" s="201" t="n">
        <f aca="false">G177/G176</f>
        <v>-1</v>
      </c>
      <c r="H178" s="201" t="n">
        <f aca="false">H177/H176</f>
        <v>0</v>
      </c>
      <c r="I178" s="201" t="n">
        <v>0</v>
      </c>
      <c r="J178" s="201" t="n">
        <f aca="false">J177/J176</f>
        <v>0</v>
      </c>
      <c r="K178" s="201" t="n">
        <v>0</v>
      </c>
      <c r="L178" s="201" t="n">
        <v>0</v>
      </c>
      <c r="M178" s="201"/>
      <c r="N178" s="214"/>
      <c r="O178" s="201" t="n">
        <f aca="false">O177/O176</f>
        <v>0.285714285714286</v>
      </c>
    </row>
    <row r="179" customFormat="false" ht="12.75" hidden="false" customHeight="false" outlineLevel="0" collapsed="false">
      <c r="A179" s="198"/>
      <c r="B179" s="194" t="n">
        <v>2016</v>
      </c>
      <c r="C179" s="204" t="n">
        <v>0</v>
      </c>
      <c r="D179" s="204" t="n">
        <v>0</v>
      </c>
      <c r="E179" s="204" t="n">
        <v>0</v>
      </c>
      <c r="F179" s="204" t="n">
        <v>0</v>
      </c>
      <c r="G179" s="204" t="n">
        <v>0</v>
      </c>
      <c r="H179" s="204" t="n">
        <v>0</v>
      </c>
      <c r="I179" s="204" t="n">
        <v>0</v>
      </c>
      <c r="J179" s="204" t="n">
        <v>0</v>
      </c>
      <c r="K179" s="204" t="n">
        <v>0</v>
      </c>
      <c r="L179" s="204" t="n">
        <v>0</v>
      </c>
      <c r="M179" s="204"/>
      <c r="N179" s="215"/>
      <c r="O179" s="194" t="n">
        <f aca="false">SUM(C179:N179)</f>
        <v>0</v>
      </c>
    </row>
    <row r="180" customFormat="false" ht="12.75" hidden="false" customHeight="false" outlineLevel="0" collapsed="false">
      <c r="A180" s="203" t="s">
        <v>215</v>
      </c>
      <c r="B180" s="196" t="n">
        <v>2015</v>
      </c>
      <c r="C180" s="196" t="n">
        <v>0</v>
      </c>
      <c r="D180" s="196" t="n">
        <v>0</v>
      </c>
      <c r="E180" s="196" t="n">
        <v>0</v>
      </c>
      <c r="F180" s="196" t="n">
        <v>0</v>
      </c>
      <c r="G180" s="196" t="n">
        <v>0</v>
      </c>
      <c r="H180" s="196" t="n">
        <v>0</v>
      </c>
      <c r="I180" s="196" t="n">
        <v>0</v>
      </c>
      <c r="J180" s="196" t="n">
        <v>0</v>
      </c>
      <c r="K180" s="196" t="n">
        <v>0</v>
      </c>
      <c r="L180" s="196" t="n">
        <v>0</v>
      </c>
      <c r="M180" s="196"/>
      <c r="N180" s="213"/>
      <c r="O180" s="196" t="n">
        <f aca="false">SUM(C180:N180)</f>
        <v>0</v>
      </c>
    </row>
    <row r="181" customFormat="false" ht="12.75" hidden="false" customHeight="false" outlineLevel="0" collapsed="false">
      <c r="A181" s="203" t="s">
        <v>216</v>
      </c>
      <c r="B181" s="202" t="s">
        <v>210</v>
      </c>
      <c r="C181" s="196" t="n">
        <f aca="false">C179-C180</f>
        <v>0</v>
      </c>
      <c r="D181" s="196" t="n">
        <f aca="false">D179-D180</f>
        <v>0</v>
      </c>
      <c r="E181" s="196" t="n">
        <f aca="false">E179-E180</f>
        <v>0</v>
      </c>
      <c r="F181" s="196" t="n">
        <f aca="false">F179-F180</f>
        <v>0</v>
      </c>
      <c r="G181" s="196" t="n">
        <f aca="false">G179-G180</f>
        <v>0</v>
      </c>
      <c r="H181" s="196" t="n">
        <f aca="false">H179-H180</f>
        <v>0</v>
      </c>
      <c r="I181" s="196" t="n">
        <f aca="false">I179-I180</f>
        <v>0</v>
      </c>
      <c r="J181" s="196" t="n">
        <f aca="false">J179-J180</f>
        <v>0</v>
      </c>
      <c r="K181" s="196" t="n">
        <f aca="false">K179-K180</f>
        <v>0</v>
      </c>
      <c r="L181" s="196" t="n">
        <f aca="false">L179-L180</f>
        <v>0</v>
      </c>
      <c r="M181" s="196"/>
      <c r="N181" s="213"/>
      <c r="O181" s="196" t="n">
        <f aca="false">O179-O180</f>
        <v>0</v>
      </c>
    </row>
    <row r="182" customFormat="false" ht="13.5" hidden="false" customHeight="false" outlineLevel="0" collapsed="false">
      <c r="A182" s="199"/>
      <c r="B182" s="200" t="s">
        <v>9</v>
      </c>
      <c r="C182" s="201" t="n">
        <v>0</v>
      </c>
      <c r="D182" s="201" t="n">
        <v>0</v>
      </c>
      <c r="E182" s="201" t="n">
        <v>0</v>
      </c>
      <c r="F182" s="201" t="n">
        <v>0</v>
      </c>
      <c r="G182" s="201" t="n">
        <v>0</v>
      </c>
      <c r="H182" s="201" t="n">
        <v>0</v>
      </c>
      <c r="I182" s="201" t="n">
        <v>0</v>
      </c>
      <c r="J182" s="201" t="n">
        <v>0</v>
      </c>
      <c r="K182" s="201" t="n">
        <v>0</v>
      </c>
      <c r="L182" s="201" t="n">
        <v>0</v>
      </c>
      <c r="M182" s="201"/>
      <c r="N182" s="214"/>
      <c r="O182" s="201" t="n">
        <v>0</v>
      </c>
    </row>
    <row r="183" customFormat="false" ht="12.75" hidden="false" customHeight="false" outlineLevel="0" collapsed="false">
      <c r="A183" s="198"/>
      <c r="B183" s="194" t="n">
        <v>2016</v>
      </c>
      <c r="C183" s="204" t="n">
        <v>12</v>
      </c>
      <c r="D183" s="204" t="n">
        <v>12</v>
      </c>
      <c r="E183" s="204" t="n">
        <v>16</v>
      </c>
      <c r="F183" s="204" t="n">
        <v>13</v>
      </c>
      <c r="G183" s="204" t="n">
        <v>16</v>
      </c>
      <c r="H183" s="204" t="n">
        <v>4</v>
      </c>
      <c r="I183" s="204" t="n">
        <v>3</v>
      </c>
      <c r="J183" s="204" t="n">
        <v>7</v>
      </c>
      <c r="K183" s="204" t="n">
        <v>10</v>
      </c>
      <c r="L183" s="204" t="n">
        <v>16</v>
      </c>
      <c r="M183" s="204"/>
      <c r="N183" s="215"/>
      <c r="O183" s="194" t="n">
        <f aca="false">SUM(C183:N183)</f>
        <v>109</v>
      </c>
    </row>
    <row r="184" customFormat="false" ht="12.75" hidden="false" customHeight="false" outlineLevel="0" collapsed="false">
      <c r="A184" s="195" t="s">
        <v>217</v>
      </c>
      <c r="B184" s="196" t="n">
        <v>2015</v>
      </c>
      <c r="C184" s="196" t="n">
        <v>15</v>
      </c>
      <c r="D184" s="196" t="n">
        <v>20</v>
      </c>
      <c r="E184" s="196" t="n">
        <v>12</v>
      </c>
      <c r="F184" s="196" t="n">
        <v>14</v>
      </c>
      <c r="G184" s="196" t="n">
        <v>15</v>
      </c>
      <c r="H184" s="196" t="n">
        <v>8</v>
      </c>
      <c r="I184" s="196" t="n">
        <v>7</v>
      </c>
      <c r="J184" s="196" t="n">
        <v>15</v>
      </c>
      <c r="K184" s="196" t="n">
        <v>18</v>
      </c>
      <c r="L184" s="196" t="n">
        <v>15</v>
      </c>
      <c r="M184" s="196"/>
      <c r="N184" s="213"/>
      <c r="O184" s="196" t="n">
        <f aca="false">SUM(C184:N184)</f>
        <v>139</v>
      </c>
    </row>
    <row r="185" customFormat="false" ht="12.75" hidden="false" customHeight="false" outlineLevel="0" collapsed="false">
      <c r="A185" s="198"/>
      <c r="B185" s="202" t="s">
        <v>210</v>
      </c>
      <c r="C185" s="196" t="n">
        <f aca="false">C183-C184</f>
        <v>-3</v>
      </c>
      <c r="D185" s="196" t="n">
        <f aca="false">D183-D184</f>
        <v>-8</v>
      </c>
      <c r="E185" s="196" t="n">
        <f aca="false">E183-E184</f>
        <v>4</v>
      </c>
      <c r="F185" s="196" t="n">
        <f aca="false">F183-F184</f>
        <v>-1</v>
      </c>
      <c r="G185" s="196" t="n">
        <f aca="false">G183-G184</f>
        <v>1</v>
      </c>
      <c r="H185" s="196" t="n">
        <f aca="false">H183-H184</f>
        <v>-4</v>
      </c>
      <c r="I185" s="196" t="n">
        <f aca="false">I183-I184</f>
        <v>-4</v>
      </c>
      <c r="J185" s="196" t="n">
        <f aca="false">J183-J184</f>
        <v>-8</v>
      </c>
      <c r="K185" s="196" t="n">
        <f aca="false">K183-K184</f>
        <v>-8</v>
      </c>
      <c r="L185" s="196" t="n">
        <f aca="false">L183-L184</f>
        <v>1</v>
      </c>
      <c r="M185" s="196"/>
      <c r="N185" s="213"/>
      <c r="O185" s="196" t="n">
        <f aca="false">O183-O184</f>
        <v>-30</v>
      </c>
    </row>
    <row r="186" customFormat="false" ht="13.5" hidden="false" customHeight="false" outlineLevel="0" collapsed="false">
      <c r="A186" s="199"/>
      <c r="B186" s="200" t="s">
        <v>9</v>
      </c>
      <c r="C186" s="201" t="n">
        <f aca="false">C185/C184</f>
        <v>-0.2</v>
      </c>
      <c r="D186" s="201" t="n">
        <f aca="false">D185/D184</f>
        <v>-0.4</v>
      </c>
      <c r="E186" s="201" t="n">
        <f aca="false">E185/E184</f>
        <v>0.333333333333333</v>
      </c>
      <c r="F186" s="201" t="n">
        <f aca="false">F185/F184</f>
        <v>-0.0714285714285714</v>
      </c>
      <c r="G186" s="201" t="n">
        <f aca="false">G185/G184</f>
        <v>0.0666666666666667</v>
      </c>
      <c r="H186" s="201" t="n">
        <f aca="false">H185/H184</f>
        <v>-0.5</v>
      </c>
      <c r="I186" s="201" t="n">
        <f aca="false">I185/I184</f>
        <v>-0.571428571428571</v>
      </c>
      <c r="J186" s="201" t="n">
        <f aca="false">J185/J184</f>
        <v>-0.533333333333333</v>
      </c>
      <c r="K186" s="201" t="n">
        <f aca="false">K185/K184</f>
        <v>-0.444444444444444</v>
      </c>
      <c r="L186" s="201" t="n">
        <f aca="false">L185/L184</f>
        <v>0.0666666666666667</v>
      </c>
      <c r="M186" s="201"/>
      <c r="N186" s="214"/>
      <c r="O186" s="201" t="n">
        <f aca="false">O185/O184</f>
        <v>-0.215827338129496</v>
      </c>
    </row>
    <row r="187" customFormat="false" ht="12.75" hidden="false" customHeight="false" outlineLevel="0" collapsed="false">
      <c r="A187" s="198"/>
      <c r="B187" s="194" t="n">
        <v>2016</v>
      </c>
      <c r="C187" s="204" t="n">
        <v>12</v>
      </c>
      <c r="D187" s="204" t="n">
        <v>2</v>
      </c>
      <c r="E187" s="204" t="n">
        <v>5</v>
      </c>
      <c r="F187" s="204" t="n">
        <v>6</v>
      </c>
      <c r="G187" s="204" t="n">
        <v>15</v>
      </c>
      <c r="H187" s="204" t="n">
        <v>10</v>
      </c>
      <c r="I187" s="204" t="n">
        <v>13</v>
      </c>
      <c r="J187" s="204" t="n">
        <v>15</v>
      </c>
      <c r="K187" s="204" t="n">
        <v>11</v>
      </c>
      <c r="L187" s="204" t="n">
        <v>12</v>
      </c>
      <c r="M187" s="204"/>
      <c r="N187" s="215"/>
      <c r="O187" s="194" t="n">
        <f aca="false">SUM(C187:N187)</f>
        <v>101</v>
      </c>
    </row>
    <row r="188" customFormat="false" ht="12.75" hidden="false" customHeight="false" outlineLevel="0" collapsed="false">
      <c r="A188" s="195" t="s">
        <v>218</v>
      </c>
      <c r="B188" s="196" t="n">
        <v>2015</v>
      </c>
      <c r="C188" s="196" t="n">
        <v>10</v>
      </c>
      <c r="D188" s="196" t="n">
        <v>9</v>
      </c>
      <c r="E188" s="196" t="n">
        <v>11</v>
      </c>
      <c r="F188" s="196" t="n">
        <v>5</v>
      </c>
      <c r="G188" s="196" t="n">
        <v>7</v>
      </c>
      <c r="H188" s="196" t="n">
        <v>7</v>
      </c>
      <c r="I188" s="196" t="n">
        <v>5</v>
      </c>
      <c r="J188" s="196" t="n">
        <v>15</v>
      </c>
      <c r="K188" s="196" t="n">
        <v>4</v>
      </c>
      <c r="L188" s="196" t="n">
        <v>11</v>
      </c>
      <c r="M188" s="196"/>
      <c r="N188" s="213"/>
      <c r="O188" s="196" t="n">
        <f aca="false">SUM(C188:N188)</f>
        <v>84</v>
      </c>
    </row>
    <row r="189" customFormat="false" ht="12.75" hidden="false" customHeight="false" outlineLevel="0" collapsed="false">
      <c r="A189" s="195" t="s">
        <v>219</v>
      </c>
      <c r="B189" s="202" t="s">
        <v>210</v>
      </c>
      <c r="C189" s="196" t="n">
        <f aca="false">C187-C188</f>
        <v>2</v>
      </c>
      <c r="D189" s="196" t="n">
        <f aca="false">D187-D188</f>
        <v>-7</v>
      </c>
      <c r="E189" s="196" t="n">
        <v>9</v>
      </c>
      <c r="F189" s="196" t="n">
        <f aca="false">F187-F188</f>
        <v>1</v>
      </c>
      <c r="G189" s="196" t="n">
        <f aca="false">G187-G188</f>
        <v>8</v>
      </c>
      <c r="H189" s="196" t="n">
        <f aca="false">H187-H188</f>
        <v>3</v>
      </c>
      <c r="I189" s="196" t="n">
        <f aca="false">I187-I188</f>
        <v>8</v>
      </c>
      <c r="J189" s="196" t="n">
        <f aca="false">J187-J188</f>
        <v>0</v>
      </c>
      <c r="K189" s="196" t="n">
        <f aca="false">K187-K188</f>
        <v>7</v>
      </c>
      <c r="L189" s="196" t="n">
        <f aca="false">L187-L188</f>
        <v>1</v>
      </c>
      <c r="M189" s="196"/>
      <c r="N189" s="213"/>
      <c r="O189" s="196" t="n">
        <f aca="false">O187-O188</f>
        <v>17</v>
      </c>
    </row>
    <row r="190" customFormat="false" ht="13.5" hidden="false" customHeight="false" outlineLevel="0" collapsed="false">
      <c r="A190" s="199" t="s">
        <v>2</v>
      </c>
      <c r="B190" s="200" t="s">
        <v>9</v>
      </c>
      <c r="C190" s="201" t="n">
        <f aca="false">C189/C188</f>
        <v>0.2</v>
      </c>
      <c r="D190" s="201" t="n">
        <f aca="false">D189/D188</f>
        <v>-0.777777777777778</v>
      </c>
      <c r="E190" s="201" t="n">
        <f aca="false">E189/E188</f>
        <v>0.818181818181818</v>
      </c>
      <c r="F190" s="201" t="n">
        <f aca="false">F189/F188</f>
        <v>0.2</v>
      </c>
      <c r="G190" s="201" t="n">
        <f aca="false">G189/G188</f>
        <v>1.14285714285714</v>
      </c>
      <c r="H190" s="201" t="n">
        <f aca="false">H189/H188</f>
        <v>0.428571428571429</v>
      </c>
      <c r="I190" s="201" t="n">
        <f aca="false">I189/I188</f>
        <v>1.6</v>
      </c>
      <c r="J190" s="201" t="n">
        <f aca="false">J189/J188</f>
        <v>0</v>
      </c>
      <c r="K190" s="201" t="n">
        <f aca="false">K189/K188</f>
        <v>1.75</v>
      </c>
      <c r="L190" s="201" t="n">
        <f aca="false">L189/L188</f>
        <v>0.0909090909090909</v>
      </c>
      <c r="M190" s="201"/>
      <c r="N190" s="214"/>
      <c r="O190" s="201" t="n">
        <f aca="false">O189/O188</f>
        <v>0.202380952380952</v>
      </c>
    </row>
    <row r="191" customFormat="false" ht="12.75" hidden="false" customHeight="false" outlineLevel="0" collapsed="false">
      <c r="A191" s="198"/>
      <c r="B191" s="194" t="n">
        <v>2016</v>
      </c>
      <c r="C191" s="204" t="n">
        <v>33</v>
      </c>
      <c r="D191" s="204" t="n">
        <v>49</v>
      </c>
      <c r="E191" s="204" t="n">
        <v>32</v>
      </c>
      <c r="F191" s="204" t="n">
        <v>29</v>
      </c>
      <c r="G191" s="204" t="n">
        <v>24</v>
      </c>
      <c r="H191" s="204" t="n">
        <v>34</v>
      </c>
      <c r="I191" s="204" t="n">
        <v>32</v>
      </c>
      <c r="J191" s="204" t="n">
        <v>52</v>
      </c>
      <c r="K191" s="204" t="n">
        <v>32</v>
      </c>
      <c r="L191" s="204" t="n">
        <v>39</v>
      </c>
      <c r="M191" s="204"/>
      <c r="N191" s="215"/>
      <c r="O191" s="194" t="n">
        <f aca="false">SUM(C191:N191)</f>
        <v>356</v>
      </c>
    </row>
    <row r="192" customFormat="false" ht="12.75" hidden="false" customHeight="false" outlineLevel="0" collapsed="false">
      <c r="A192" s="195" t="s">
        <v>220</v>
      </c>
      <c r="B192" s="196" t="n">
        <v>2015</v>
      </c>
      <c r="C192" s="196" t="n">
        <v>63</v>
      </c>
      <c r="D192" s="196" t="n">
        <v>61</v>
      </c>
      <c r="E192" s="196" t="n">
        <v>42</v>
      </c>
      <c r="F192" s="196" t="n">
        <v>35</v>
      </c>
      <c r="G192" s="196" t="n">
        <v>31</v>
      </c>
      <c r="H192" s="196" t="n">
        <v>35</v>
      </c>
      <c r="I192" s="196" t="n">
        <v>42</v>
      </c>
      <c r="J192" s="196" t="n">
        <v>33</v>
      </c>
      <c r="K192" s="196" t="n">
        <v>29</v>
      </c>
      <c r="L192" s="196" t="n">
        <v>31</v>
      </c>
      <c r="M192" s="196"/>
      <c r="N192" s="213"/>
      <c r="O192" s="196" t="n">
        <f aca="false">SUM(C192:N192)</f>
        <v>402</v>
      </c>
    </row>
    <row r="193" customFormat="false" ht="12.75" hidden="false" customHeight="false" outlineLevel="0" collapsed="false">
      <c r="A193" s="198"/>
      <c r="B193" s="202" t="s">
        <v>210</v>
      </c>
      <c r="C193" s="196" t="n">
        <f aca="false">C191-C192</f>
        <v>-30</v>
      </c>
      <c r="D193" s="196" t="n">
        <f aca="false">D191-D192</f>
        <v>-12</v>
      </c>
      <c r="E193" s="196" t="n">
        <f aca="false">E191-E192</f>
        <v>-10</v>
      </c>
      <c r="F193" s="196" t="n">
        <f aca="false">F191-F192</f>
        <v>-6</v>
      </c>
      <c r="G193" s="196" t="n">
        <f aca="false">G191-G192</f>
        <v>-7</v>
      </c>
      <c r="H193" s="196" t="n">
        <f aca="false">H191-H192</f>
        <v>-1</v>
      </c>
      <c r="I193" s="196" t="n">
        <f aca="false">I191-I192</f>
        <v>-10</v>
      </c>
      <c r="J193" s="196" t="n">
        <f aca="false">J191-J192</f>
        <v>19</v>
      </c>
      <c r="K193" s="196" t="n">
        <f aca="false">K191-K192</f>
        <v>3</v>
      </c>
      <c r="L193" s="196" t="n">
        <f aca="false">L191-L192</f>
        <v>8</v>
      </c>
      <c r="M193" s="196"/>
      <c r="N193" s="213"/>
      <c r="O193" s="196" t="n">
        <f aca="false">O191-O192</f>
        <v>-46</v>
      </c>
    </row>
    <row r="194" customFormat="false" ht="13.5" hidden="false" customHeight="false" outlineLevel="0" collapsed="false">
      <c r="A194" s="199"/>
      <c r="B194" s="200" t="s">
        <v>9</v>
      </c>
      <c r="C194" s="201" t="n">
        <f aca="false">C193/C192</f>
        <v>-0.476190476190476</v>
      </c>
      <c r="D194" s="201" t="n">
        <f aca="false">D193/D192</f>
        <v>-0.19672131147541</v>
      </c>
      <c r="E194" s="201" t="n">
        <f aca="false">E193/E192</f>
        <v>-0.238095238095238</v>
      </c>
      <c r="F194" s="201" t="n">
        <f aca="false">F193/F192</f>
        <v>-0.171428571428571</v>
      </c>
      <c r="G194" s="201" t="n">
        <f aca="false">G193/G192</f>
        <v>-0.225806451612903</v>
      </c>
      <c r="H194" s="201" t="n">
        <f aca="false">H193/H192</f>
        <v>-0.0285714285714286</v>
      </c>
      <c r="I194" s="201" t="n">
        <f aca="false">I193/I192</f>
        <v>-0.238095238095238</v>
      </c>
      <c r="J194" s="201" t="n">
        <f aca="false">J193/J192</f>
        <v>0.575757575757576</v>
      </c>
      <c r="K194" s="201" t="n">
        <f aca="false">K193/K192</f>
        <v>0.103448275862069</v>
      </c>
      <c r="L194" s="201" t="n">
        <f aca="false">L193/L192</f>
        <v>0.258064516129032</v>
      </c>
      <c r="M194" s="201"/>
      <c r="N194" s="214"/>
      <c r="O194" s="201" t="n">
        <f aca="false">O193/O192</f>
        <v>-0.114427860696517</v>
      </c>
    </row>
    <row r="195" customFormat="false" ht="12.75" hidden="false" customHeight="false" outlineLevel="0" collapsed="false">
      <c r="A195" s="198"/>
      <c r="B195" s="194" t="n">
        <v>2016</v>
      </c>
      <c r="C195" s="204" t="n">
        <v>71</v>
      </c>
      <c r="D195" s="204" t="n">
        <v>35</v>
      </c>
      <c r="E195" s="204" t="n">
        <v>48</v>
      </c>
      <c r="F195" s="204" t="n">
        <v>50</v>
      </c>
      <c r="G195" s="204" t="n">
        <v>53</v>
      </c>
      <c r="H195" s="204" t="n">
        <v>58</v>
      </c>
      <c r="I195" s="204" t="n">
        <v>50</v>
      </c>
      <c r="J195" s="204" t="n">
        <v>55</v>
      </c>
      <c r="K195" s="204" t="n">
        <v>46</v>
      </c>
      <c r="L195" s="204" t="n">
        <v>54</v>
      </c>
      <c r="M195" s="204"/>
      <c r="N195" s="215"/>
      <c r="O195" s="194" t="n">
        <f aca="false">SUM(C195:N195)</f>
        <v>520</v>
      </c>
    </row>
    <row r="196" customFormat="false" ht="12.75" hidden="false" customHeight="false" outlineLevel="0" collapsed="false">
      <c r="A196" s="195" t="s">
        <v>221</v>
      </c>
      <c r="B196" s="196" t="n">
        <v>2015</v>
      </c>
      <c r="C196" s="196" t="n">
        <v>93</v>
      </c>
      <c r="D196" s="196" t="n">
        <v>64</v>
      </c>
      <c r="E196" s="196" t="n">
        <v>65</v>
      </c>
      <c r="F196" s="196" t="n">
        <v>63</v>
      </c>
      <c r="G196" s="196" t="n">
        <v>48</v>
      </c>
      <c r="H196" s="196" t="n">
        <v>59</v>
      </c>
      <c r="I196" s="196" t="n">
        <v>57</v>
      </c>
      <c r="J196" s="196" t="n">
        <v>64</v>
      </c>
      <c r="K196" s="196" t="n">
        <v>66</v>
      </c>
      <c r="L196" s="196" t="n">
        <v>60</v>
      </c>
      <c r="M196" s="196"/>
      <c r="N196" s="213"/>
      <c r="O196" s="196" t="n">
        <f aca="false">SUM(C196:N196)</f>
        <v>639</v>
      </c>
    </row>
    <row r="197" customFormat="false" ht="12.75" hidden="false" customHeight="false" outlineLevel="0" collapsed="false">
      <c r="A197" s="195" t="s">
        <v>222</v>
      </c>
      <c r="B197" s="202" t="s">
        <v>210</v>
      </c>
      <c r="C197" s="196" t="n">
        <f aca="false">C195-C196</f>
        <v>-22</v>
      </c>
      <c r="D197" s="196" t="n">
        <f aca="false">D195-D196</f>
        <v>-29</v>
      </c>
      <c r="E197" s="196" t="n">
        <f aca="false">E195-E196</f>
        <v>-17</v>
      </c>
      <c r="F197" s="196" t="n">
        <f aca="false">F195-F196</f>
        <v>-13</v>
      </c>
      <c r="G197" s="196" t="n">
        <f aca="false">G195-G196</f>
        <v>5</v>
      </c>
      <c r="H197" s="196" t="n">
        <f aca="false">H195-H196</f>
        <v>-1</v>
      </c>
      <c r="I197" s="196" t="n">
        <f aca="false">I195-I196</f>
        <v>-7</v>
      </c>
      <c r="J197" s="196" t="n">
        <f aca="false">J195-J196</f>
        <v>-9</v>
      </c>
      <c r="K197" s="196" t="n">
        <f aca="false">K195-K196</f>
        <v>-20</v>
      </c>
      <c r="L197" s="196" t="n">
        <f aca="false">L195-L196</f>
        <v>-6</v>
      </c>
      <c r="M197" s="196"/>
      <c r="N197" s="213"/>
      <c r="O197" s="196" t="n">
        <f aca="false">O195-O196</f>
        <v>-119</v>
      </c>
    </row>
    <row r="198" customFormat="false" ht="13.5" hidden="false" customHeight="false" outlineLevel="0" collapsed="false">
      <c r="A198" s="199"/>
      <c r="B198" s="200" t="s">
        <v>9</v>
      </c>
      <c r="C198" s="201" t="n">
        <f aca="false">C197/C196</f>
        <v>-0.236559139784946</v>
      </c>
      <c r="D198" s="201" t="n">
        <f aca="false">D197/D196</f>
        <v>-0.453125</v>
      </c>
      <c r="E198" s="201" t="n">
        <f aca="false">E197/E196</f>
        <v>-0.261538461538462</v>
      </c>
      <c r="F198" s="201" t="n">
        <f aca="false">F197/F196</f>
        <v>-0.206349206349206</v>
      </c>
      <c r="G198" s="201" t="n">
        <f aca="false">G197/G196</f>
        <v>0.104166666666667</v>
      </c>
      <c r="H198" s="201" t="n">
        <f aca="false">H197/H196</f>
        <v>-0.0169491525423729</v>
      </c>
      <c r="I198" s="201" t="n">
        <f aca="false">I197/I196</f>
        <v>-0.12280701754386</v>
      </c>
      <c r="J198" s="201" t="n">
        <f aca="false">J197/J196</f>
        <v>-0.140625</v>
      </c>
      <c r="K198" s="201" t="n">
        <f aca="false">K197/K196</f>
        <v>-0.303030303030303</v>
      </c>
      <c r="L198" s="201" t="n">
        <f aca="false">L197/L196</f>
        <v>-0.1</v>
      </c>
      <c r="M198" s="201"/>
      <c r="N198" s="214"/>
      <c r="O198" s="201" t="n">
        <f aca="false">O197/O196</f>
        <v>-0.18622848200313</v>
      </c>
    </row>
    <row r="199" customFormat="false" ht="12.75" hidden="false" customHeight="false" outlineLevel="0" collapsed="false">
      <c r="A199" s="198"/>
      <c r="B199" s="194" t="n">
        <v>2016</v>
      </c>
      <c r="C199" s="204" t="n">
        <v>4</v>
      </c>
      <c r="D199" s="204" t="n">
        <v>6</v>
      </c>
      <c r="E199" s="204" t="n">
        <v>4</v>
      </c>
      <c r="F199" s="204" t="n">
        <v>5</v>
      </c>
      <c r="G199" s="204" t="n">
        <v>3</v>
      </c>
      <c r="H199" s="204" t="n">
        <v>6</v>
      </c>
      <c r="I199" s="204" t="n">
        <v>6</v>
      </c>
      <c r="J199" s="204" t="n">
        <v>9</v>
      </c>
      <c r="K199" s="204" t="n">
        <v>3</v>
      </c>
      <c r="L199" s="204" t="n">
        <v>5</v>
      </c>
      <c r="M199" s="204"/>
      <c r="N199" s="215"/>
      <c r="O199" s="194" t="n">
        <f aca="false">SUM(C199:N199)</f>
        <v>51</v>
      </c>
    </row>
    <row r="200" customFormat="false" ht="12.75" hidden="false" customHeight="false" outlineLevel="0" collapsed="false">
      <c r="A200" s="195" t="s">
        <v>223</v>
      </c>
      <c r="B200" s="196" t="n">
        <v>2015</v>
      </c>
      <c r="C200" s="196" t="n">
        <v>11</v>
      </c>
      <c r="D200" s="196" t="n">
        <v>3</v>
      </c>
      <c r="E200" s="196" t="n">
        <v>6</v>
      </c>
      <c r="F200" s="196" t="n">
        <v>7</v>
      </c>
      <c r="G200" s="196" t="n">
        <v>3</v>
      </c>
      <c r="H200" s="196" t="n">
        <v>9</v>
      </c>
      <c r="I200" s="196" t="n">
        <v>4</v>
      </c>
      <c r="J200" s="196" t="n">
        <v>8</v>
      </c>
      <c r="K200" s="196" t="n">
        <v>3</v>
      </c>
      <c r="L200" s="196" t="n">
        <v>9</v>
      </c>
      <c r="M200" s="196"/>
      <c r="N200" s="213"/>
      <c r="O200" s="196" t="n">
        <f aca="false">SUM(C200:N200)</f>
        <v>63</v>
      </c>
    </row>
    <row r="201" customFormat="false" ht="12.75" hidden="false" customHeight="false" outlineLevel="0" collapsed="false">
      <c r="A201" s="195" t="s">
        <v>224</v>
      </c>
      <c r="B201" s="202" t="s">
        <v>210</v>
      </c>
      <c r="C201" s="196" t="n">
        <f aca="false">C199-C200</f>
        <v>-7</v>
      </c>
      <c r="D201" s="196" t="n">
        <f aca="false">D199-D200</f>
        <v>3</v>
      </c>
      <c r="E201" s="196" t="n">
        <f aca="false">E199-E200</f>
        <v>-2</v>
      </c>
      <c r="F201" s="196" t="n">
        <f aca="false">F199-F200</f>
        <v>-2</v>
      </c>
      <c r="G201" s="196" t="n">
        <f aca="false">G199-G200</f>
        <v>0</v>
      </c>
      <c r="H201" s="196" t="n">
        <f aca="false">H199-H200</f>
        <v>-3</v>
      </c>
      <c r="I201" s="196" t="n">
        <f aca="false">I199-I200</f>
        <v>2</v>
      </c>
      <c r="J201" s="196" t="n">
        <f aca="false">J199-J200</f>
        <v>1</v>
      </c>
      <c r="K201" s="196" t="n">
        <f aca="false">K199-K200</f>
        <v>0</v>
      </c>
      <c r="L201" s="196" t="n">
        <f aca="false">L199-L200</f>
        <v>-4</v>
      </c>
      <c r="M201" s="196"/>
      <c r="N201" s="213"/>
      <c r="O201" s="196" t="n">
        <f aca="false">O199-O200</f>
        <v>-12</v>
      </c>
    </row>
    <row r="202" customFormat="false" ht="13.5" hidden="false" customHeight="false" outlineLevel="0" collapsed="false">
      <c r="A202" s="199"/>
      <c r="B202" s="200" t="s">
        <v>9</v>
      </c>
      <c r="C202" s="201" t="n">
        <f aca="false">C201/C200</f>
        <v>-0.636363636363636</v>
      </c>
      <c r="D202" s="201" t="n">
        <f aca="false">D201/D200</f>
        <v>1</v>
      </c>
      <c r="E202" s="201" t="n">
        <f aca="false">E201/E200</f>
        <v>-0.333333333333333</v>
      </c>
      <c r="F202" s="201" t="n">
        <f aca="false">F201/F200</f>
        <v>-0.285714285714286</v>
      </c>
      <c r="G202" s="201" t="n">
        <f aca="false">G201/G200</f>
        <v>0</v>
      </c>
      <c r="H202" s="201" t="n">
        <f aca="false">H201/H200</f>
        <v>-0.333333333333333</v>
      </c>
      <c r="I202" s="201" t="n">
        <f aca="false">I201/I200</f>
        <v>0.5</v>
      </c>
      <c r="J202" s="201" t="n">
        <f aca="false">J201/J200</f>
        <v>0.125</v>
      </c>
      <c r="K202" s="201" t="n">
        <f aca="false">K201/K200</f>
        <v>0</v>
      </c>
      <c r="L202" s="201" t="n">
        <f aca="false">L201/L200</f>
        <v>-0.444444444444444</v>
      </c>
      <c r="M202" s="201"/>
      <c r="N202" s="214"/>
      <c r="O202" s="201" t="n">
        <f aca="false">O201/O200</f>
        <v>-0.19047619047619</v>
      </c>
    </row>
    <row r="205" customFormat="false" ht="13.5" hidden="false" customHeight="false" outlineLevel="0" collapsed="false">
      <c r="A205" s="210" t="s">
        <v>111</v>
      </c>
      <c r="B205" s="209"/>
      <c r="C205" s="209"/>
    </row>
    <row r="206" customFormat="false" ht="13.5" hidden="false" customHeight="false" outlineLevel="0" collapsed="false">
      <c r="A206" s="0" t="s">
        <v>2</v>
      </c>
      <c r="B206" s="192" t="s">
        <v>196</v>
      </c>
      <c r="C206" s="192" t="s">
        <v>197</v>
      </c>
      <c r="D206" s="192" t="s">
        <v>198</v>
      </c>
      <c r="E206" s="192" t="s">
        <v>199</v>
      </c>
      <c r="F206" s="192" t="s">
        <v>200</v>
      </c>
      <c r="G206" s="192" t="s">
        <v>201</v>
      </c>
      <c r="H206" s="192" t="s">
        <v>202</v>
      </c>
      <c r="I206" s="192" t="s">
        <v>203</v>
      </c>
      <c r="J206" s="192" t="s">
        <v>204</v>
      </c>
      <c r="K206" s="192" t="s">
        <v>205</v>
      </c>
      <c r="L206" s="192" t="s">
        <v>206</v>
      </c>
      <c r="M206" s="192" t="s">
        <v>207</v>
      </c>
      <c r="N206" s="192" t="s">
        <v>208</v>
      </c>
      <c r="O206" s="192" t="s">
        <v>52</v>
      </c>
    </row>
    <row r="207" customFormat="false" ht="12.75" hidden="false" customHeight="false" outlineLevel="0" collapsed="false">
      <c r="A207" s="193"/>
      <c r="B207" s="194" t="n">
        <v>2016</v>
      </c>
      <c r="C207" s="194" t="n">
        <f aca="false">SUM(C211+C215+C219+C223+C227+C231+C235+C239)</f>
        <v>201</v>
      </c>
      <c r="D207" s="194" t="n">
        <f aca="false">SUM(D211+D215+D219+D223+D227+D231+D235+D239)</f>
        <v>202</v>
      </c>
      <c r="E207" s="194" t="n">
        <f aca="false">SUM(E211+E215+E219+E223+E227+E231+E235+E239)</f>
        <v>243</v>
      </c>
      <c r="F207" s="194" t="n">
        <f aca="false">SUM(F211+F215+F219+F223+F227+F231+F235+F239)</f>
        <v>210</v>
      </c>
      <c r="G207" s="216" t="n">
        <f aca="false">SUM(G211+G215+G223+G227+G231+G235+G239)</f>
        <v>179</v>
      </c>
      <c r="H207" s="216" t="n">
        <f aca="false">SUM(H211+H215+H223+H227+H231+H235+H239)</f>
        <v>162</v>
      </c>
      <c r="I207" s="216" t="n">
        <f aca="false">SUM(I211+I215+I223+I227+I231+I235+I239)</f>
        <v>155</v>
      </c>
      <c r="J207" s="216" t="n">
        <f aca="false">SUM(J211+J215+J223+J227+J231+J235+J239)</f>
        <v>173</v>
      </c>
      <c r="K207" s="216" t="n">
        <f aca="false">SUM(K211+K215+K223+K227+K231+K235+K239)</f>
        <v>154</v>
      </c>
      <c r="L207" s="216" t="n">
        <f aca="false">SUM(L211+L215+L223+L227+L231+L235+L239)</f>
        <v>177</v>
      </c>
      <c r="M207" s="194"/>
      <c r="N207" s="194"/>
      <c r="O207" s="216" t="n">
        <f aca="false">SUM(O211+O215+O223+O227+O231+O235+O239)</f>
        <v>1856</v>
      </c>
    </row>
    <row r="208" customFormat="false" ht="12.75" hidden="false" customHeight="false" outlineLevel="0" collapsed="false">
      <c r="A208" s="195" t="s">
        <v>52</v>
      </c>
      <c r="B208" s="196" t="n">
        <v>2015</v>
      </c>
      <c r="C208" s="196" t="n">
        <f aca="false">SUM(C212+C216+C220+C224+C228+C232+C236+C240)</f>
        <v>238</v>
      </c>
      <c r="D208" s="196" t="n">
        <f aca="false">SUM(D212+D216+D220+D224+D228+D232+D236+D240)</f>
        <v>185</v>
      </c>
      <c r="E208" s="196" t="n">
        <f aca="false">SUM(E212+E216+E220+E224+E228+E232+E236+E240)</f>
        <v>187</v>
      </c>
      <c r="F208" s="196" t="n">
        <f aca="false">SUM(F212+F216+F220+F224+F228+F232+F236+F240)</f>
        <v>226</v>
      </c>
      <c r="G208" s="196" t="n">
        <f aca="false">SUM(G212+G216+G220+G224+G228+G232+G236+G240)</f>
        <v>215</v>
      </c>
      <c r="H208" s="196" t="n">
        <f aca="false">SUM(H212+H216+H220+H224+H228+H232+H236+H240)</f>
        <v>175</v>
      </c>
      <c r="I208" s="196" t="n">
        <f aca="false">SUM(I212+I216+I220+I224+I228+I232+I236+I240)</f>
        <v>206</v>
      </c>
      <c r="J208" s="196" t="n">
        <f aca="false">SUM(J212+J216+J220+J224+J228+J232+J236+J240)</f>
        <v>171</v>
      </c>
      <c r="K208" s="196" t="n">
        <f aca="false">SUM(K212+K216+K220+K224+K228+K232+K236+K240)</f>
        <v>194</v>
      </c>
      <c r="L208" s="196" t="n">
        <f aca="false">SUM(L212+L216+L220+L224+L228+L232+L236+L240)</f>
        <v>219</v>
      </c>
      <c r="M208" s="196"/>
      <c r="N208" s="196"/>
      <c r="O208" s="196" t="n">
        <f aca="false">SUM(C208:N208)</f>
        <v>2016</v>
      </c>
    </row>
    <row r="209" customFormat="false" ht="12.75" hidden="false" customHeight="false" outlineLevel="0" collapsed="false">
      <c r="A209" s="195" t="s">
        <v>209</v>
      </c>
      <c r="B209" s="197" t="s">
        <v>210</v>
      </c>
      <c r="C209" s="196" t="n">
        <f aca="false">C207-C208</f>
        <v>-37</v>
      </c>
      <c r="D209" s="196" t="n">
        <f aca="false">D207-D208</f>
        <v>17</v>
      </c>
      <c r="E209" s="196" t="n">
        <f aca="false">E207-E208</f>
        <v>56</v>
      </c>
      <c r="F209" s="196" t="n">
        <f aca="false">F207-F208</f>
        <v>-16</v>
      </c>
      <c r="G209" s="196" t="n">
        <f aca="false">G207-G208</f>
        <v>-36</v>
      </c>
      <c r="H209" s="196" t="n">
        <f aca="false">H207-H208</f>
        <v>-13</v>
      </c>
      <c r="I209" s="196" t="n">
        <f aca="false">I207-I208</f>
        <v>-51</v>
      </c>
      <c r="J209" s="196" t="n">
        <f aca="false">J207-J208</f>
        <v>2</v>
      </c>
      <c r="K209" s="196" t="n">
        <f aca="false">K207-K208</f>
        <v>-40</v>
      </c>
      <c r="L209" s="196" t="n">
        <f aca="false">L207-L208</f>
        <v>-42</v>
      </c>
      <c r="M209" s="196"/>
      <c r="N209" s="196"/>
      <c r="O209" s="196" t="n">
        <f aca="false">O207-O208</f>
        <v>-160</v>
      </c>
    </row>
    <row r="210" customFormat="false" ht="13.5" hidden="false" customHeight="false" outlineLevel="0" collapsed="false">
      <c r="A210" s="199"/>
      <c r="B210" s="200" t="s">
        <v>9</v>
      </c>
      <c r="C210" s="201" t="n">
        <f aca="false">C209/C208</f>
        <v>-0.15546218487395</v>
      </c>
      <c r="D210" s="201" t="n">
        <f aca="false">D209/D208</f>
        <v>0.0918918918918919</v>
      </c>
      <c r="E210" s="201" t="n">
        <f aca="false">E209/E208</f>
        <v>0.299465240641711</v>
      </c>
      <c r="F210" s="201" t="n">
        <f aca="false">F209/F208</f>
        <v>-0.0707964601769912</v>
      </c>
      <c r="G210" s="201" t="n">
        <f aca="false">G209/G208</f>
        <v>-0.167441860465116</v>
      </c>
      <c r="H210" s="201" t="n">
        <f aca="false">H209/H208</f>
        <v>-0.0742857142857143</v>
      </c>
      <c r="I210" s="201" t="n">
        <f aca="false">I209/I208</f>
        <v>-0.247572815533981</v>
      </c>
      <c r="J210" s="201" t="n">
        <f aca="false">J209/J208</f>
        <v>0.0116959064327485</v>
      </c>
      <c r="K210" s="201" t="n">
        <f aca="false">K209/K208</f>
        <v>-0.206185567010309</v>
      </c>
      <c r="L210" s="201" t="n">
        <f aca="false">L209/L208</f>
        <v>-0.191780821917808</v>
      </c>
      <c r="M210" s="201"/>
      <c r="N210" s="201"/>
      <c r="O210" s="201" t="n">
        <f aca="false">O209/O208</f>
        <v>-0.0793650793650794</v>
      </c>
    </row>
    <row r="211" customFormat="false" ht="12.75" hidden="false" customHeight="false" outlineLevel="0" collapsed="false">
      <c r="A211" s="198"/>
      <c r="B211" s="194" t="n">
        <v>2016</v>
      </c>
      <c r="C211" s="194" t="n">
        <v>3</v>
      </c>
      <c r="D211" s="194" t="n">
        <v>2</v>
      </c>
      <c r="E211" s="194" t="n">
        <v>0</v>
      </c>
      <c r="F211" s="194" t="n">
        <v>3</v>
      </c>
      <c r="G211" s="194" t="n">
        <v>1</v>
      </c>
      <c r="H211" s="194" t="n">
        <v>3</v>
      </c>
      <c r="I211" s="194" t="n">
        <v>3</v>
      </c>
      <c r="J211" s="194" t="n">
        <v>1</v>
      </c>
      <c r="K211" s="194" t="n">
        <v>3</v>
      </c>
      <c r="L211" s="194" t="n">
        <v>1</v>
      </c>
      <c r="M211" s="194"/>
      <c r="N211" s="194"/>
      <c r="O211" s="194" t="n">
        <f aca="false">SUM(C211:N211)</f>
        <v>20</v>
      </c>
    </row>
    <row r="212" customFormat="false" ht="12.75" hidden="false" customHeight="false" outlineLevel="0" collapsed="false">
      <c r="A212" s="195" t="s">
        <v>211</v>
      </c>
      <c r="B212" s="196" t="n">
        <v>2015</v>
      </c>
      <c r="C212" s="196" t="n">
        <v>2</v>
      </c>
      <c r="D212" s="196" t="n">
        <v>0</v>
      </c>
      <c r="E212" s="196" t="n">
        <v>3</v>
      </c>
      <c r="F212" s="196" t="n">
        <v>1</v>
      </c>
      <c r="G212" s="196" t="n">
        <v>1</v>
      </c>
      <c r="H212" s="196" t="n">
        <v>0</v>
      </c>
      <c r="I212" s="196" t="n">
        <v>4</v>
      </c>
      <c r="J212" s="196" t="n">
        <v>1</v>
      </c>
      <c r="K212" s="196" t="n">
        <v>1</v>
      </c>
      <c r="L212" s="196" t="n">
        <v>1</v>
      </c>
      <c r="M212" s="196"/>
      <c r="N212" s="196"/>
      <c r="O212" s="196" t="n">
        <f aca="false">SUM(C212:N212)</f>
        <v>14</v>
      </c>
    </row>
    <row r="213" customFormat="false" ht="12.75" hidden="false" customHeight="false" outlineLevel="0" collapsed="false">
      <c r="A213" s="195" t="s">
        <v>212</v>
      </c>
      <c r="B213" s="202" t="s">
        <v>210</v>
      </c>
      <c r="C213" s="196" t="n">
        <f aca="false">C211-C212</f>
        <v>1</v>
      </c>
      <c r="D213" s="196" t="n">
        <f aca="false">D211-D212</f>
        <v>2</v>
      </c>
      <c r="E213" s="196" t="n">
        <f aca="false">E211-E212</f>
        <v>-3</v>
      </c>
      <c r="F213" s="196" t="n">
        <f aca="false">F211-F212</f>
        <v>2</v>
      </c>
      <c r="G213" s="196" t="n">
        <f aca="false">G211-G212</f>
        <v>0</v>
      </c>
      <c r="H213" s="196" t="n">
        <f aca="false">H211-H212</f>
        <v>3</v>
      </c>
      <c r="I213" s="196" t="n">
        <f aca="false">I211-I212</f>
        <v>-1</v>
      </c>
      <c r="J213" s="196" t="n">
        <f aca="false">J211-J212</f>
        <v>0</v>
      </c>
      <c r="K213" s="196" t="n">
        <f aca="false">K211-K212</f>
        <v>2</v>
      </c>
      <c r="L213" s="196" t="n">
        <f aca="false">L211-L212</f>
        <v>0</v>
      </c>
      <c r="M213" s="196"/>
      <c r="N213" s="196"/>
      <c r="O213" s="196" t="n">
        <f aca="false">O211-O212</f>
        <v>6</v>
      </c>
    </row>
    <row r="214" customFormat="false" ht="13.5" hidden="false" customHeight="false" outlineLevel="0" collapsed="false">
      <c r="A214" s="199"/>
      <c r="B214" s="200" t="s">
        <v>9</v>
      </c>
      <c r="C214" s="201" t="n">
        <f aca="false">C213/C212</f>
        <v>0.5</v>
      </c>
      <c r="D214" s="201" t="n">
        <v>0</v>
      </c>
      <c r="E214" s="201" t="n">
        <f aca="false">E213/E212</f>
        <v>-1</v>
      </c>
      <c r="F214" s="201" t="n">
        <f aca="false">F213/F212</f>
        <v>2</v>
      </c>
      <c r="G214" s="201" t="n">
        <f aca="false">G213/G212</f>
        <v>0</v>
      </c>
      <c r="H214" s="201" t="n">
        <v>0</v>
      </c>
      <c r="I214" s="201" t="n">
        <f aca="false">I213/I212</f>
        <v>-0.25</v>
      </c>
      <c r="J214" s="201" t="n">
        <f aca="false">J213/J212</f>
        <v>0</v>
      </c>
      <c r="K214" s="201" t="n">
        <f aca="false">K213/K212</f>
        <v>2</v>
      </c>
      <c r="L214" s="201" t="n">
        <f aca="false">L213/L212</f>
        <v>0</v>
      </c>
      <c r="M214" s="201"/>
      <c r="N214" s="201"/>
      <c r="O214" s="201" t="n">
        <f aca="false">O213/O212</f>
        <v>0.428571428571429</v>
      </c>
    </row>
    <row r="215" customFormat="false" ht="12.75" hidden="false" customHeight="false" outlineLevel="0" collapsed="false">
      <c r="A215" s="198"/>
      <c r="B215" s="194" t="n">
        <v>2016</v>
      </c>
      <c r="C215" s="204" t="n">
        <v>1</v>
      </c>
      <c r="D215" s="204" t="n">
        <v>3</v>
      </c>
      <c r="E215" s="204" t="n">
        <v>0</v>
      </c>
      <c r="F215" s="204" t="n">
        <v>2</v>
      </c>
      <c r="G215" s="204" t="n">
        <v>0</v>
      </c>
      <c r="H215" s="204" t="n">
        <v>1</v>
      </c>
      <c r="I215" s="204" t="n">
        <v>0</v>
      </c>
      <c r="J215" s="204" t="n">
        <v>0</v>
      </c>
      <c r="K215" s="204" t="n">
        <v>0</v>
      </c>
      <c r="L215" s="204" t="n">
        <v>0</v>
      </c>
      <c r="M215" s="204"/>
      <c r="N215" s="204"/>
      <c r="O215" s="194" t="n">
        <f aca="false">SUM(C215:N215)</f>
        <v>7</v>
      </c>
    </row>
    <row r="216" customFormat="false" ht="12.75" hidden="false" customHeight="false" outlineLevel="0" collapsed="false">
      <c r="A216" s="203" t="s">
        <v>213</v>
      </c>
      <c r="B216" s="196" t="n">
        <v>2015</v>
      </c>
      <c r="C216" s="196" t="n">
        <v>0</v>
      </c>
      <c r="D216" s="196" t="n">
        <v>2</v>
      </c>
      <c r="E216" s="196" t="n">
        <v>0</v>
      </c>
      <c r="F216" s="196" t="n">
        <v>0</v>
      </c>
      <c r="G216" s="196" t="n">
        <v>0</v>
      </c>
      <c r="H216" s="196" t="n">
        <v>2</v>
      </c>
      <c r="I216" s="196" t="n">
        <v>1</v>
      </c>
      <c r="J216" s="196" t="n">
        <v>5</v>
      </c>
      <c r="K216" s="196" t="n">
        <v>0</v>
      </c>
      <c r="L216" s="196" t="n">
        <v>1</v>
      </c>
      <c r="M216" s="196"/>
      <c r="N216" s="196"/>
      <c r="O216" s="196" t="n">
        <f aca="false">SUM(C216:N216)</f>
        <v>11</v>
      </c>
    </row>
    <row r="217" customFormat="false" ht="12.75" hidden="false" customHeight="false" outlineLevel="0" collapsed="false">
      <c r="A217" s="195" t="s">
        <v>214</v>
      </c>
      <c r="B217" s="202" t="s">
        <v>210</v>
      </c>
      <c r="C217" s="196" t="n">
        <f aca="false">C215-C216</f>
        <v>1</v>
      </c>
      <c r="D217" s="196" t="n">
        <f aca="false">D215-D216</f>
        <v>1</v>
      </c>
      <c r="E217" s="196" t="n">
        <f aca="false">E215-E216</f>
        <v>0</v>
      </c>
      <c r="F217" s="196" t="n">
        <f aca="false">F215-F216</f>
        <v>2</v>
      </c>
      <c r="G217" s="196" t="n">
        <f aca="false">G215-G216</f>
        <v>0</v>
      </c>
      <c r="H217" s="196" t="n">
        <f aca="false">H215-H216</f>
        <v>-1</v>
      </c>
      <c r="I217" s="196" t="n">
        <f aca="false">I215-I216</f>
        <v>-1</v>
      </c>
      <c r="J217" s="196" t="n">
        <f aca="false">J215-J216</f>
        <v>-5</v>
      </c>
      <c r="K217" s="196" t="n">
        <f aca="false">K215-K216</f>
        <v>0</v>
      </c>
      <c r="L217" s="196" t="n">
        <f aca="false">L215-L216</f>
        <v>-1</v>
      </c>
      <c r="M217" s="196"/>
      <c r="N217" s="196"/>
      <c r="O217" s="196" t="n">
        <f aca="false">O215-O216</f>
        <v>-4</v>
      </c>
    </row>
    <row r="218" customFormat="false" ht="13.5" hidden="false" customHeight="false" outlineLevel="0" collapsed="false">
      <c r="A218" s="199"/>
      <c r="B218" s="200" t="s">
        <v>9</v>
      </c>
      <c r="C218" s="201" t="n">
        <v>0</v>
      </c>
      <c r="D218" s="201" t="n">
        <f aca="false">D217/D216</f>
        <v>0.5</v>
      </c>
      <c r="E218" s="201" t="n">
        <v>0</v>
      </c>
      <c r="F218" s="201" t="n">
        <v>0</v>
      </c>
      <c r="G218" s="201" t="n">
        <v>0</v>
      </c>
      <c r="H218" s="201" t="n">
        <f aca="false">H217/H216</f>
        <v>-0.5</v>
      </c>
      <c r="I218" s="201" t="n">
        <f aca="false">I217/I216</f>
        <v>-1</v>
      </c>
      <c r="J218" s="201" t="n">
        <f aca="false">J217/J216</f>
        <v>-1</v>
      </c>
      <c r="K218" s="201" t="n">
        <v>0</v>
      </c>
      <c r="L218" s="201" t="n">
        <v>0</v>
      </c>
      <c r="M218" s="201"/>
      <c r="N218" s="201"/>
      <c r="O218" s="201" t="n">
        <f aca="false">O217/O216</f>
        <v>-0.363636363636364</v>
      </c>
    </row>
    <row r="219" customFormat="false" ht="12.75" hidden="false" customHeight="false" outlineLevel="0" collapsed="false">
      <c r="A219" s="217"/>
      <c r="B219" s="194" t="n">
        <v>2016</v>
      </c>
      <c r="C219" s="204" t="n">
        <v>0</v>
      </c>
      <c r="D219" s="204" t="n">
        <v>0</v>
      </c>
      <c r="E219" s="204" t="n">
        <v>0</v>
      </c>
      <c r="F219" s="204" t="n">
        <v>0</v>
      </c>
      <c r="G219" s="204" t="n">
        <v>0</v>
      </c>
      <c r="H219" s="204" t="n">
        <v>0</v>
      </c>
      <c r="I219" s="204" t="n">
        <v>0</v>
      </c>
      <c r="J219" s="204" t="n">
        <v>0</v>
      </c>
      <c r="K219" s="204" t="n">
        <v>0</v>
      </c>
      <c r="L219" s="204" t="n">
        <v>0</v>
      </c>
      <c r="M219" s="204"/>
      <c r="N219" s="204"/>
      <c r="O219" s="194" t="n">
        <f aca="false">SUM(C219:N219)</f>
        <v>0</v>
      </c>
    </row>
    <row r="220" customFormat="false" ht="12.75" hidden="false" customHeight="false" outlineLevel="0" collapsed="false">
      <c r="A220" s="203" t="s">
        <v>215</v>
      </c>
      <c r="B220" s="196" t="n">
        <v>2015</v>
      </c>
      <c r="C220" s="196" t="n">
        <v>0</v>
      </c>
      <c r="D220" s="196" t="n">
        <v>0</v>
      </c>
      <c r="E220" s="196" t="n">
        <v>0</v>
      </c>
      <c r="F220" s="196" t="n">
        <v>0</v>
      </c>
      <c r="G220" s="196" t="n">
        <v>0</v>
      </c>
      <c r="H220" s="196" t="n">
        <v>0</v>
      </c>
      <c r="I220" s="196" t="n">
        <v>0</v>
      </c>
      <c r="J220" s="196" t="n">
        <v>0</v>
      </c>
      <c r="K220" s="196" t="n">
        <v>0</v>
      </c>
      <c r="L220" s="196" t="n">
        <v>0</v>
      </c>
      <c r="M220" s="196"/>
      <c r="N220" s="196"/>
      <c r="O220" s="196" t="n">
        <f aca="false">SUM(C220:N220)</f>
        <v>0</v>
      </c>
    </row>
    <row r="221" customFormat="false" ht="12.75" hidden="false" customHeight="false" outlineLevel="0" collapsed="false">
      <c r="A221" s="203" t="s">
        <v>216</v>
      </c>
      <c r="B221" s="202" t="s">
        <v>210</v>
      </c>
      <c r="C221" s="196" t="n">
        <f aca="false">C219-C220</f>
        <v>0</v>
      </c>
      <c r="D221" s="196" t="n">
        <f aca="false">D219-D220</f>
        <v>0</v>
      </c>
      <c r="E221" s="196" t="n">
        <f aca="false">E219-E220</f>
        <v>0</v>
      </c>
      <c r="F221" s="196" t="n">
        <f aca="false">F219-F220</f>
        <v>0</v>
      </c>
      <c r="G221" s="196" t="n">
        <f aca="false">G219-G220</f>
        <v>0</v>
      </c>
      <c r="H221" s="196" t="n">
        <f aca="false">H219-H220</f>
        <v>0</v>
      </c>
      <c r="I221" s="196" t="n">
        <f aca="false">I219-I220</f>
        <v>0</v>
      </c>
      <c r="J221" s="196" t="n">
        <f aca="false">J219-J220</f>
        <v>0</v>
      </c>
      <c r="K221" s="196" t="n">
        <f aca="false">K219-K220</f>
        <v>0</v>
      </c>
      <c r="L221" s="196" t="n">
        <f aca="false">L219-L220</f>
        <v>0</v>
      </c>
      <c r="M221" s="196"/>
      <c r="N221" s="196"/>
      <c r="O221" s="196" t="n">
        <f aca="false">O219-O220</f>
        <v>0</v>
      </c>
    </row>
    <row r="222" customFormat="false" ht="13.5" hidden="false" customHeight="false" outlineLevel="0" collapsed="false">
      <c r="A222" s="199"/>
      <c r="B222" s="200" t="s">
        <v>9</v>
      </c>
      <c r="C222" s="201" t="n">
        <v>0</v>
      </c>
      <c r="D222" s="201" t="n">
        <v>0</v>
      </c>
      <c r="E222" s="201" t="n">
        <v>0</v>
      </c>
      <c r="F222" s="201" t="n">
        <v>0</v>
      </c>
      <c r="G222" s="201" t="n">
        <v>0</v>
      </c>
      <c r="H222" s="201" t="n">
        <v>0</v>
      </c>
      <c r="I222" s="201" t="n">
        <v>0</v>
      </c>
      <c r="J222" s="201" t="n">
        <v>0</v>
      </c>
      <c r="K222" s="201" t="n">
        <v>0</v>
      </c>
      <c r="L222" s="201" t="n">
        <v>0</v>
      </c>
      <c r="M222" s="201"/>
      <c r="N222" s="201"/>
      <c r="O222" s="201" t="n">
        <v>0</v>
      </c>
    </row>
    <row r="223" customFormat="false" ht="12.75" hidden="false" customHeight="false" outlineLevel="0" collapsed="false">
      <c r="A223" s="198"/>
      <c r="B223" s="194" t="n">
        <v>2016</v>
      </c>
      <c r="C223" s="204" t="n">
        <v>6</v>
      </c>
      <c r="D223" s="204" t="n">
        <v>8</v>
      </c>
      <c r="E223" s="204" t="n">
        <v>17</v>
      </c>
      <c r="F223" s="204" t="n">
        <v>15</v>
      </c>
      <c r="G223" s="204" t="n">
        <v>14</v>
      </c>
      <c r="H223" s="204" t="n">
        <v>13</v>
      </c>
      <c r="I223" s="204" t="n">
        <v>4</v>
      </c>
      <c r="J223" s="204" t="n">
        <v>9</v>
      </c>
      <c r="K223" s="204" t="n">
        <v>6</v>
      </c>
      <c r="L223" s="204" t="n">
        <v>11</v>
      </c>
      <c r="M223" s="204"/>
      <c r="N223" s="204"/>
      <c r="O223" s="194" t="n">
        <f aca="false">SUM(C223:N223)</f>
        <v>103</v>
      </c>
    </row>
    <row r="224" customFormat="false" ht="12.75" hidden="false" customHeight="false" outlineLevel="0" collapsed="false">
      <c r="A224" s="195" t="s">
        <v>217</v>
      </c>
      <c r="B224" s="196" t="n">
        <v>2015</v>
      </c>
      <c r="C224" s="196" t="n">
        <v>26</v>
      </c>
      <c r="D224" s="196" t="n">
        <v>5</v>
      </c>
      <c r="E224" s="196" t="n">
        <v>6</v>
      </c>
      <c r="F224" s="196" t="n">
        <v>6</v>
      </c>
      <c r="G224" s="196" t="n">
        <v>12</v>
      </c>
      <c r="H224" s="196" t="n">
        <v>8</v>
      </c>
      <c r="I224" s="196" t="n">
        <v>8</v>
      </c>
      <c r="J224" s="196" t="n">
        <v>4</v>
      </c>
      <c r="K224" s="196" t="n">
        <v>7</v>
      </c>
      <c r="L224" s="196" t="n">
        <v>17</v>
      </c>
      <c r="M224" s="196"/>
      <c r="N224" s="196"/>
      <c r="O224" s="196" t="n">
        <f aca="false">SUM(C224:N224)</f>
        <v>99</v>
      </c>
    </row>
    <row r="225" customFormat="false" ht="12.75" hidden="false" customHeight="false" outlineLevel="0" collapsed="false">
      <c r="A225" s="198"/>
      <c r="B225" s="202" t="s">
        <v>210</v>
      </c>
      <c r="C225" s="196" t="n">
        <f aca="false">C223-C224</f>
        <v>-20</v>
      </c>
      <c r="D225" s="196" t="n">
        <f aca="false">D223-D224</f>
        <v>3</v>
      </c>
      <c r="E225" s="196" t="n">
        <f aca="false">E223-E224</f>
        <v>11</v>
      </c>
      <c r="F225" s="196" t="n">
        <f aca="false">F223-F224</f>
        <v>9</v>
      </c>
      <c r="G225" s="196" t="n">
        <f aca="false">G223-G224</f>
        <v>2</v>
      </c>
      <c r="H225" s="196" t="n">
        <f aca="false">H223-H224</f>
        <v>5</v>
      </c>
      <c r="I225" s="196" t="n">
        <f aca="false">I223-I224</f>
        <v>-4</v>
      </c>
      <c r="J225" s="196" t="n">
        <f aca="false">J223-J224</f>
        <v>5</v>
      </c>
      <c r="K225" s="196" t="n">
        <f aca="false">K223-K224</f>
        <v>-1</v>
      </c>
      <c r="L225" s="196" t="n">
        <f aca="false">L223-L224</f>
        <v>-6</v>
      </c>
      <c r="M225" s="196"/>
      <c r="N225" s="196"/>
      <c r="O225" s="196" t="n">
        <f aca="false">O223-O224</f>
        <v>4</v>
      </c>
    </row>
    <row r="226" customFormat="false" ht="13.5" hidden="false" customHeight="false" outlineLevel="0" collapsed="false">
      <c r="A226" s="199"/>
      <c r="B226" s="200" t="s">
        <v>9</v>
      </c>
      <c r="C226" s="201" t="n">
        <f aca="false">C225/C224</f>
        <v>-0.769230769230769</v>
      </c>
      <c r="D226" s="201" t="n">
        <f aca="false">D225/D224</f>
        <v>0.6</v>
      </c>
      <c r="E226" s="201" t="n">
        <f aca="false">E225/E224</f>
        <v>1.83333333333333</v>
      </c>
      <c r="F226" s="201" t="n">
        <f aca="false">F225/F224</f>
        <v>1.5</v>
      </c>
      <c r="G226" s="201" t="n">
        <f aca="false">G225/G224</f>
        <v>0.166666666666667</v>
      </c>
      <c r="H226" s="201" t="n">
        <f aca="false">H225/H224</f>
        <v>0.625</v>
      </c>
      <c r="I226" s="201" t="n">
        <f aca="false">I225/I224</f>
        <v>-0.5</v>
      </c>
      <c r="J226" s="201" t="n">
        <f aca="false">J225/J224</f>
        <v>1.25</v>
      </c>
      <c r="K226" s="201" t="n">
        <f aca="false">K225/K224</f>
        <v>-0.142857142857143</v>
      </c>
      <c r="L226" s="201" t="n">
        <f aca="false">L225/L224</f>
        <v>-0.352941176470588</v>
      </c>
      <c r="M226" s="201"/>
      <c r="N226" s="201"/>
      <c r="O226" s="201" t="n">
        <f aca="false">O225/O224</f>
        <v>0.0404040404040404</v>
      </c>
    </row>
    <row r="227" customFormat="false" ht="12.75" hidden="false" customHeight="false" outlineLevel="0" collapsed="false">
      <c r="A227" s="198"/>
      <c r="B227" s="194" t="n">
        <v>2016</v>
      </c>
      <c r="C227" s="204" t="n">
        <v>30</v>
      </c>
      <c r="D227" s="204" t="n">
        <v>22</v>
      </c>
      <c r="E227" s="204" t="n">
        <v>19</v>
      </c>
      <c r="F227" s="218" t="n">
        <v>26</v>
      </c>
      <c r="G227" s="219" t="n">
        <v>29</v>
      </c>
      <c r="H227" s="219" t="n">
        <v>21</v>
      </c>
      <c r="I227" s="219" t="n">
        <v>24</v>
      </c>
      <c r="J227" s="219" t="n">
        <v>23</v>
      </c>
      <c r="K227" s="219" t="n">
        <v>16</v>
      </c>
      <c r="L227" s="219" t="n">
        <v>18</v>
      </c>
      <c r="M227" s="220"/>
      <c r="N227" s="220"/>
      <c r="O227" s="194" t="n">
        <f aca="false">SUM(C227:N227)</f>
        <v>228</v>
      </c>
    </row>
    <row r="228" customFormat="false" ht="12.75" hidden="false" customHeight="false" outlineLevel="0" collapsed="false">
      <c r="A228" s="195" t="s">
        <v>218</v>
      </c>
      <c r="B228" s="196" t="n">
        <v>2015</v>
      </c>
      <c r="C228" s="196" t="n">
        <v>26</v>
      </c>
      <c r="D228" s="196" t="n">
        <v>24</v>
      </c>
      <c r="E228" s="196" t="n">
        <v>15</v>
      </c>
      <c r="F228" s="196" t="n">
        <v>20</v>
      </c>
      <c r="G228" s="196" t="n">
        <v>23</v>
      </c>
      <c r="H228" s="196" t="n">
        <v>15</v>
      </c>
      <c r="I228" s="196" t="n">
        <v>19</v>
      </c>
      <c r="J228" s="196" t="n">
        <v>21</v>
      </c>
      <c r="K228" s="196" t="n">
        <v>17</v>
      </c>
      <c r="L228" s="196" t="n">
        <v>20</v>
      </c>
      <c r="M228" s="196"/>
      <c r="N228" s="196"/>
      <c r="O228" s="196" t="n">
        <f aca="false">SUM(C228:N228)</f>
        <v>200</v>
      </c>
    </row>
    <row r="229" customFormat="false" ht="12.75" hidden="false" customHeight="false" outlineLevel="0" collapsed="false">
      <c r="A229" s="195" t="s">
        <v>219</v>
      </c>
      <c r="B229" s="202" t="s">
        <v>210</v>
      </c>
      <c r="C229" s="196" t="n">
        <f aca="false">C227-C228</f>
        <v>4</v>
      </c>
      <c r="D229" s="196" t="n">
        <f aca="false">D227-D228</f>
        <v>-2</v>
      </c>
      <c r="E229" s="196" t="n">
        <f aca="false">E227-E228</f>
        <v>4</v>
      </c>
      <c r="F229" s="196" t="n">
        <f aca="false">F227-F228</f>
        <v>6</v>
      </c>
      <c r="G229" s="196" t="n">
        <f aca="false">G227-G228</f>
        <v>6</v>
      </c>
      <c r="H229" s="196" t="n">
        <f aca="false">H227-H228</f>
        <v>6</v>
      </c>
      <c r="I229" s="196" t="n">
        <f aca="false">I227-I228</f>
        <v>5</v>
      </c>
      <c r="J229" s="196" t="n">
        <f aca="false">J227-J228</f>
        <v>2</v>
      </c>
      <c r="K229" s="196" t="n">
        <f aca="false">K227-K228</f>
        <v>-1</v>
      </c>
      <c r="L229" s="196" t="n">
        <f aca="false">L227-L228</f>
        <v>-2</v>
      </c>
      <c r="M229" s="196"/>
      <c r="N229" s="196"/>
      <c r="O229" s="196" t="n">
        <f aca="false">O227-O228</f>
        <v>28</v>
      </c>
    </row>
    <row r="230" customFormat="false" ht="13.5" hidden="false" customHeight="false" outlineLevel="0" collapsed="false">
      <c r="A230" s="199" t="s">
        <v>2</v>
      </c>
      <c r="B230" s="200" t="s">
        <v>9</v>
      </c>
      <c r="C230" s="201" t="n">
        <f aca="false">C229/C228</f>
        <v>0.153846153846154</v>
      </c>
      <c r="D230" s="201" t="n">
        <f aca="false">D229/D228</f>
        <v>-0.0833333333333333</v>
      </c>
      <c r="E230" s="201" t="n">
        <f aca="false">E229/E228</f>
        <v>0.266666666666667</v>
      </c>
      <c r="F230" s="201" t="n">
        <f aca="false">F229/F228</f>
        <v>0.3</v>
      </c>
      <c r="G230" s="201" t="n">
        <f aca="false">G229/G228</f>
        <v>0.260869565217391</v>
      </c>
      <c r="H230" s="201" t="n">
        <f aca="false">H229/H228</f>
        <v>0.4</v>
      </c>
      <c r="I230" s="201" t="n">
        <f aca="false">I229/I228</f>
        <v>0.263157894736842</v>
      </c>
      <c r="J230" s="201" t="n">
        <f aca="false">J229/J228</f>
        <v>0.0952380952380952</v>
      </c>
      <c r="K230" s="201" t="n">
        <f aca="false">K229/K228</f>
        <v>-0.0588235294117647</v>
      </c>
      <c r="L230" s="201" t="n">
        <f aca="false">L229/L228</f>
        <v>-0.1</v>
      </c>
      <c r="M230" s="201"/>
      <c r="N230" s="201"/>
      <c r="O230" s="201" t="n">
        <f aca="false">O229/O228</f>
        <v>0.14</v>
      </c>
    </row>
    <row r="231" customFormat="false" ht="12.75" hidden="false" customHeight="false" outlineLevel="0" collapsed="false">
      <c r="A231" s="198"/>
      <c r="B231" s="194" t="n">
        <v>2016</v>
      </c>
      <c r="C231" s="204" t="n">
        <v>49</v>
      </c>
      <c r="D231" s="204" t="n">
        <v>47</v>
      </c>
      <c r="E231" s="204" t="n">
        <v>59</v>
      </c>
      <c r="F231" s="204" t="n">
        <v>55</v>
      </c>
      <c r="G231" s="204" t="n">
        <v>52</v>
      </c>
      <c r="H231" s="204" t="n">
        <v>31</v>
      </c>
      <c r="I231" s="204" t="n">
        <v>35</v>
      </c>
      <c r="J231" s="204" t="n">
        <v>33</v>
      </c>
      <c r="K231" s="204" t="n">
        <v>32</v>
      </c>
      <c r="L231" s="204" t="n">
        <v>48</v>
      </c>
      <c r="M231" s="204"/>
      <c r="N231" s="204"/>
      <c r="O231" s="194" t="n">
        <f aca="false">SUM(C231:N231)</f>
        <v>441</v>
      </c>
    </row>
    <row r="232" customFormat="false" ht="12.75" hidden="false" customHeight="false" outlineLevel="0" collapsed="false">
      <c r="A232" s="195" t="s">
        <v>220</v>
      </c>
      <c r="B232" s="196" t="n">
        <v>2015</v>
      </c>
      <c r="C232" s="196" t="n">
        <v>66</v>
      </c>
      <c r="D232" s="196" t="n">
        <v>47</v>
      </c>
      <c r="E232" s="196" t="n">
        <v>61</v>
      </c>
      <c r="F232" s="196" t="n">
        <v>65</v>
      </c>
      <c r="G232" s="196" t="n">
        <v>54</v>
      </c>
      <c r="H232" s="196" t="n">
        <v>48</v>
      </c>
      <c r="I232" s="196" t="n">
        <v>75</v>
      </c>
      <c r="J232" s="196" t="n">
        <v>58</v>
      </c>
      <c r="K232" s="196" t="n">
        <v>60</v>
      </c>
      <c r="L232" s="196" t="n">
        <v>42</v>
      </c>
      <c r="M232" s="196"/>
      <c r="N232" s="196"/>
      <c r="O232" s="196" t="n">
        <f aca="false">SUM(C232:N232)</f>
        <v>576</v>
      </c>
    </row>
    <row r="233" customFormat="false" ht="12.75" hidden="false" customHeight="false" outlineLevel="0" collapsed="false">
      <c r="A233" s="198"/>
      <c r="B233" s="202" t="s">
        <v>210</v>
      </c>
      <c r="C233" s="196" t="n">
        <f aca="false">C231-C232</f>
        <v>-17</v>
      </c>
      <c r="D233" s="196" t="n">
        <f aca="false">D231-D232</f>
        <v>0</v>
      </c>
      <c r="E233" s="196" t="n">
        <f aca="false">E231-E232</f>
        <v>-2</v>
      </c>
      <c r="F233" s="196" t="n">
        <f aca="false">F231-F232</f>
        <v>-10</v>
      </c>
      <c r="G233" s="196" t="n">
        <f aca="false">G231-G232</f>
        <v>-2</v>
      </c>
      <c r="H233" s="196" t="n">
        <f aca="false">H231-H232</f>
        <v>-17</v>
      </c>
      <c r="I233" s="196" t="n">
        <f aca="false">I231-I232</f>
        <v>-40</v>
      </c>
      <c r="J233" s="196" t="n">
        <f aca="false">J231-J232</f>
        <v>-25</v>
      </c>
      <c r="K233" s="196" t="n">
        <f aca="false">K231-K232</f>
        <v>-28</v>
      </c>
      <c r="L233" s="196" t="n">
        <f aca="false">L231-L232</f>
        <v>6</v>
      </c>
      <c r="M233" s="196"/>
      <c r="N233" s="196"/>
      <c r="O233" s="196" t="n">
        <f aca="false">O231-O232</f>
        <v>-135</v>
      </c>
    </row>
    <row r="234" customFormat="false" ht="13.5" hidden="false" customHeight="false" outlineLevel="0" collapsed="false">
      <c r="A234" s="199"/>
      <c r="B234" s="200" t="s">
        <v>9</v>
      </c>
      <c r="C234" s="201" t="n">
        <f aca="false">C233/C232</f>
        <v>-0.257575757575758</v>
      </c>
      <c r="D234" s="201" t="n">
        <f aca="false">D233/D232</f>
        <v>0</v>
      </c>
      <c r="E234" s="201" t="n">
        <f aca="false">E233/E232</f>
        <v>-0.0327868852459016</v>
      </c>
      <c r="F234" s="201" t="n">
        <f aca="false">F233/F232</f>
        <v>-0.153846153846154</v>
      </c>
      <c r="G234" s="201" t="n">
        <f aca="false">G233/G232</f>
        <v>-0.037037037037037</v>
      </c>
      <c r="H234" s="201" t="n">
        <f aca="false">H233/H232</f>
        <v>-0.354166666666667</v>
      </c>
      <c r="I234" s="201" t="n">
        <f aca="false">I233/I232</f>
        <v>-0.533333333333333</v>
      </c>
      <c r="J234" s="201" t="n">
        <f aca="false">J233/J232</f>
        <v>-0.431034482758621</v>
      </c>
      <c r="K234" s="201" t="n">
        <f aca="false">K233/K232</f>
        <v>-0.466666666666667</v>
      </c>
      <c r="L234" s="201" t="n">
        <f aca="false">L233/L232</f>
        <v>0.142857142857143</v>
      </c>
      <c r="M234" s="201"/>
      <c r="N234" s="201"/>
      <c r="O234" s="201" t="n">
        <f aca="false">O233/O232</f>
        <v>-0.234375</v>
      </c>
    </row>
    <row r="235" customFormat="false" ht="12.75" hidden="false" customHeight="false" outlineLevel="0" collapsed="false">
      <c r="A235" s="198"/>
      <c r="B235" s="194" t="n">
        <v>2016</v>
      </c>
      <c r="C235" s="204" t="n">
        <v>111</v>
      </c>
      <c r="D235" s="204" t="n">
        <v>116</v>
      </c>
      <c r="E235" s="204" t="n">
        <v>143</v>
      </c>
      <c r="F235" s="204" t="n">
        <v>103</v>
      </c>
      <c r="G235" s="204" t="n">
        <v>78</v>
      </c>
      <c r="H235" s="204" t="n">
        <v>88</v>
      </c>
      <c r="I235" s="204" t="n">
        <v>87</v>
      </c>
      <c r="J235" s="204" t="n">
        <v>100</v>
      </c>
      <c r="K235" s="204" t="n">
        <v>87</v>
      </c>
      <c r="L235" s="204" t="n">
        <v>91</v>
      </c>
      <c r="M235" s="204"/>
      <c r="N235" s="204"/>
      <c r="O235" s="194" t="n">
        <f aca="false">SUM(C235:N235)</f>
        <v>1004</v>
      </c>
    </row>
    <row r="236" customFormat="false" ht="12.75" hidden="false" customHeight="false" outlineLevel="0" collapsed="false">
      <c r="A236" s="195" t="s">
        <v>221</v>
      </c>
      <c r="B236" s="196" t="n">
        <v>2015</v>
      </c>
      <c r="C236" s="196" t="n">
        <v>108</v>
      </c>
      <c r="D236" s="196" t="n">
        <v>98</v>
      </c>
      <c r="E236" s="196" t="n">
        <v>93</v>
      </c>
      <c r="F236" s="196" t="n">
        <v>126</v>
      </c>
      <c r="G236" s="196" t="n">
        <v>117</v>
      </c>
      <c r="H236" s="196" t="n">
        <v>83</v>
      </c>
      <c r="I236" s="196" t="n">
        <v>95</v>
      </c>
      <c r="J236" s="196" t="n">
        <v>77</v>
      </c>
      <c r="K236" s="196" t="n">
        <v>101</v>
      </c>
      <c r="L236" s="196" t="n">
        <v>117</v>
      </c>
      <c r="M236" s="196"/>
      <c r="N236" s="196"/>
      <c r="O236" s="196" t="n">
        <f aca="false">SUM(C236:N236)</f>
        <v>1015</v>
      </c>
    </row>
    <row r="237" customFormat="false" ht="12.75" hidden="false" customHeight="false" outlineLevel="0" collapsed="false">
      <c r="A237" s="195" t="s">
        <v>222</v>
      </c>
      <c r="B237" s="202" t="s">
        <v>210</v>
      </c>
      <c r="C237" s="196" t="n">
        <f aca="false">C235-C236</f>
        <v>3</v>
      </c>
      <c r="D237" s="196" t="n">
        <f aca="false">D235-D236</f>
        <v>18</v>
      </c>
      <c r="E237" s="196" t="n">
        <f aca="false">E235-E236</f>
        <v>50</v>
      </c>
      <c r="F237" s="196" t="n">
        <f aca="false">F235-F236</f>
        <v>-23</v>
      </c>
      <c r="G237" s="196" t="n">
        <f aca="false">G235-G236</f>
        <v>-39</v>
      </c>
      <c r="H237" s="196" t="n">
        <f aca="false">H235-H236</f>
        <v>5</v>
      </c>
      <c r="I237" s="196" t="n">
        <f aca="false">I235-I236</f>
        <v>-8</v>
      </c>
      <c r="J237" s="196" t="n">
        <f aca="false">J235-J236</f>
        <v>23</v>
      </c>
      <c r="K237" s="196" t="n">
        <f aca="false">K235-K236</f>
        <v>-14</v>
      </c>
      <c r="L237" s="196" t="n">
        <f aca="false">L235-L236</f>
        <v>-26</v>
      </c>
      <c r="M237" s="196"/>
      <c r="N237" s="196"/>
      <c r="O237" s="196" t="n">
        <f aca="false">O235-O236</f>
        <v>-11</v>
      </c>
    </row>
    <row r="238" customFormat="false" ht="13.5" hidden="false" customHeight="false" outlineLevel="0" collapsed="false">
      <c r="A238" s="199"/>
      <c r="B238" s="200" t="s">
        <v>9</v>
      </c>
      <c r="C238" s="201" t="n">
        <f aca="false">C237/C236</f>
        <v>0.0277777777777778</v>
      </c>
      <c r="D238" s="201" t="n">
        <f aca="false">D237/D236</f>
        <v>0.183673469387755</v>
      </c>
      <c r="E238" s="201" t="n">
        <f aca="false">E237/E236</f>
        <v>0.537634408602151</v>
      </c>
      <c r="F238" s="201" t="n">
        <f aca="false">F237/F236</f>
        <v>-0.182539682539683</v>
      </c>
      <c r="G238" s="201" t="n">
        <f aca="false">G237/G236</f>
        <v>-0.333333333333333</v>
      </c>
      <c r="H238" s="201" t="n">
        <f aca="false">H237/H236</f>
        <v>0.0602409638554217</v>
      </c>
      <c r="I238" s="201" t="n">
        <f aca="false">I237/I236</f>
        <v>-0.0842105263157895</v>
      </c>
      <c r="J238" s="201" t="n">
        <f aca="false">J237/J236</f>
        <v>0.298701298701299</v>
      </c>
      <c r="K238" s="201" t="n">
        <f aca="false">K237/K236</f>
        <v>-0.138613861386139</v>
      </c>
      <c r="L238" s="201" t="n">
        <f aca="false">L237/L236</f>
        <v>-0.222222222222222</v>
      </c>
      <c r="M238" s="201"/>
      <c r="N238" s="201"/>
      <c r="O238" s="201" t="n">
        <f aca="false">O237/O236</f>
        <v>-0.0108374384236453</v>
      </c>
    </row>
    <row r="239" customFormat="false" ht="12.75" hidden="false" customHeight="false" outlineLevel="0" collapsed="false">
      <c r="A239" s="198"/>
      <c r="B239" s="194" t="n">
        <v>2016</v>
      </c>
      <c r="C239" s="204" t="n">
        <v>1</v>
      </c>
      <c r="D239" s="204" t="n">
        <v>4</v>
      </c>
      <c r="E239" s="204" t="n">
        <v>5</v>
      </c>
      <c r="F239" s="204" t="n">
        <v>6</v>
      </c>
      <c r="G239" s="204" t="n">
        <v>5</v>
      </c>
      <c r="H239" s="204" t="n">
        <v>5</v>
      </c>
      <c r="I239" s="204" t="n">
        <v>2</v>
      </c>
      <c r="J239" s="204" t="n">
        <v>7</v>
      </c>
      <c r="K239" s="204" t="n">
        <v>10</v>
      </c>
      <c r="L239" s="204" t="n">
        <v>8</v>
      </c>
      <c r="M239" s="204"/>
      <c r="N239" s="204"/>
      <c r="O239" s="194" t="n">
        <f aca="false">SUM(C239:N239)</f>
        <v>53</v>
      </c>
    </row>
    <row r="240" customFormat="false" ht="12.75" hidden="false" customHeight="false" outlineLevel="0" collapsed="false">
      <c r="A240" s="195" t="s">
        <v>223</v>
      </c>
      <c r="B240" s="196" t="n">
        <v>2015</v>
      </c>
      <c r="C240" s="196" t="n">
        <v>10</v>
      </c>
      <c r="D240" s="196" t="n">
        <v>9</v>
      </c>
      <c r="E240" s="196" t="n">
        <v>9</v>
      </c>
      <c r="F240" s="196" t="n">
        <v>8</v>
      </c>
      <c r="G240" s="196" t="n">
        <v>8</v>
      </c>
      <c r="H240" s="196" t="n">
        <v>19</v>
      </c>
      <c r="I240" s="196" t="n">
        <v>4</v>
      </c>
      <c r="J240" s="196" t="n">
        <v>5</v>
      </c>
      <c r="K240" s="196" t="n">
        <v>8</v>
      </c>
      <c r="L240" s="196" t="n">
        <v>21</v>
      </c>
      <c r="M240" s="196"/>
      <c r="N240" s="196"/>
      <c r="O240" s="196" t="n">
        <f aca="false">SUM(C240:N240)</f>
        <v>101</v>
      </c>
    </row>
    <row r="241" customFormat="false" ht="12.75" hidden="false" customHeight="false" outlineLevel="0" collapsed="false">
      <c r="A241" s="195" t="s">
        <v>224</v>
      </c>
      <c r="B241" s="202" t="s">
        <v>210</v>
      </c>
      <c r="C241" s="196" t="n">
        <f aca="false">C239-C240</f>
        <v>-9</v>
      </c>
      <c r="D241" s="196" t="n">
        <f aca="false">D239-D240</f>
        <v>-5</v>
      </c>
      <c r="E241" s="196" t="n">
        <f aca="false">E239-E240</f>
        <v>-4</v>
      </c>
      <c r="F241" s="196" t="n">
        <f aca="false">F239-F240</f>
        <v>-2</v>
      </c>
      <c r="G241" s="196" t="n">
        <f aca="false">G239-G240</f>
        <v>-3</v>
      </c>
      <c r="H241" s="196" t="n">
        <f aca="false">H239-H240</f>
        <v>-14</v>
      </c>
      <c r="I241" s="196" t="n">
        <f aca="false">I239-I240</f>
        <v>-2</v>
      </c>
      <c r="J241" s="196" t="n">
        <f aca="false">J239-J240</f>
        <v>2</v>
      </c>
      <c r="K241" s="196" t="n">
        <f aca="false">K239-K240</f>
        <v>2</v>
      </c>
      <c r="L241" s="196" t="n">
        <f aca="false">L239-L240</f>
        <v>-13</v>
      </c>
      <c r="M241" s="196"/>
      <c r="N241" s="196"/>
      <c r="O241" s="196" t="n">
        <f aca="false">O239-O240</f>
        <v>-48</v>
      </c>
    </row>
    <row r="242" customFormat="false" ht="13.5" hidden="false" customHeight="false" outlineLevel="0" collapsed="false">
      <c r="A242" s="199"/>
      <c r="B242" s="200" t="s">
        <v>9</v>
      </c>
      <c r="C242" s="201" t="n">
        <f aca="false">C241/C240</f>
        <v>-0.9</v>
      </c>
      <c r="D242" s="201" t="n">
        <f aca="false">D241/D240</f>
        <v>-0.555555555555556</v>
      </c>
      <c r="E242" s="201" t="n">
        <f aca="false">E241/E240</f>
        <v>-0.444444444444444</v>
      </c>
      <c r="F242" s="201" t="n">
        <f aca="false">F241/F240</f>
        <v>-0.25</v>
      </c>
      <c r="G242" s="201" t="n">
        <f aca="false">G241/G240</f>
        <v>-0.375</v>
      </c>
      <c r="H242" s="201" t="n">
        <f aca="false">H241/H240</f>
        <v>-0.736842105263158</v>
      </c>
      <c r="I242" s="201" t="n">
        <f aca="false">I241/I240</f>
        <v>-0.5</v>
      </c>
      <c r="J242" s="201" t="n">
        <f aca="false">J241/J240</f>
        <v>0.4</v>
      </c>
      <c r="K242" s="201" t="n">
        <f aca="false">K241/K240</f>
        <v>0.25</v>
      </c>
      <c r="L242" s="201" t="n">
        <f aca="false">L241/L240</f>
        <v>-0.619047619047619</v>
      </c>
      <c r="M242" s="201"/>
      <c r="N242" s="201"/>
      <c r="O242" s="201" t="n">
        <f aca="false">O241/O240</f>
        <v>-0.475247524752475</v>
      </c>
    </row>
    <row r="245" customFormat="false" ht="13.5" hidden="false" customHeight="false" outlineLevel="0" collapsed="false">
      <c r="A245" s="210" t="s">
        <v>122</v>
      </c>
      <c r="B245" s="209"/>
      <c r="C245" s="209"/>
    </row>
    <row r="246" customFormat="false" ht="13.5" hidden="false" customHeight="false" outlineLevel="0" collapsed="false">
      <c r="A246" s="0" t="s">
        <v>2</v>
      </c>
      <c r="B246" s="192" t="s">
        <v>196</v>
      </c>
      <c r="C246" s="192" t="s">
        <v>197</v>
      </c>
      <c r="D246" s="192" t="s">
        <v>198</v>
      </c>
      <c r="E246" s="192" t="s">
        <v>199</v>
      </c>
      <c r="F246" s="192" t="s">
        <v>200</v>
      </c>
      <c r="G246" s="192" t="s">
        <v>201</v>
      </c>
      <c r="H246" s="192" t="s">
        <v>202</v>
      </c>
      <c r="I246" s="192" t="s">
        <v>203</v>
      </c>
      <c r="J246" s="192" t="s">
        <v>204</v>
      </c>
      <c r="K246" s="192" t="s">
        <v>205</v>
      </c>
      <c r="L246" s="192" t="s">
        <v>206</v>
      </c>
      <c r="M246" s="192" t="s">
        <v>207</v>
      </c>
      <c r="N246" s="192" t="s">
        <v>208</v>
      </c>
      <c r="O246" s="192" t="s">
        <v>52</v>
      </c>
    </row>
    <row r="247" customFormat="false" ht="12.75" hidden="false" customHeight="false" outlineLevel="0" collapsed="false">
      <c r="A247" s="193"/>
      <c r="B247" s="194" t="n">
        <v>2016</v>
      </c>
      <c r="C247" s="194" t="n">
        <f aca="false">SUM(C251+C255+C263+C267+C271+C275+C279)</f>
        <v>335</v>
      </c>
      <c r="D247" s="194" t="n">
        <f aca="false">SUM(D251+D255+D263+D267+D271+D275+D279)</f>
        <v>310</v>
      </c>
      <c r="E247" s="194" t="n">
        <f aca="false">SUM(E251+E255+E263+E267+E271+E275+E279)</f>
        <v>298</v>
      </c>
      <c r="F247" s="194" t="n">
        <f aca="false">SUM(F251+F255+F263+F267+F271+F275+F279)</f>
        <v>256</v>
      </c>
      <c r="G247" s="194" t="n">
        <f aca="false">SUM(G251+G255+G263+G267+G271+G275+G279)</f>
        <v>259</v>
      </c>
      <c r="H247" s="194" t="n">
        <f aca="false">SUM(H251+H255+H263+H267+H271+H275+H279)</f>
        <v>264</v>
      </c>
      <c r="I247" s="194" t="n">
        <f aca="false">SUM(I251+I255+I263+I267+I271+I275+I279)</f>
        <v>287</v>
      </c>
      <c r="J247" s="194" t="n">
        <f aca="false">SUM(J251+J255+J263+J267+J271+J275+J279)</f>
        <v>349</v>
      </c>
      <c r="K247" s="194" t="n">
        <f aca="false">SUM(K251+K255+K263+K267+K271+K275+K279)</f>
        <v>316</v>
      </c>
      <c r="L247" s="194" t="n">
        <f aca="false">SUM(L251+L255+L263+L267+L271+L275+L279)</f>
        <v>324</v>
      </c>
      <c r="M247" s="194"/>
      <c r="N247" s="194"/>
      <c r="O247" s="194" t="n">
        <f aca="false">SUM(O251+O255+O263+O267+O271+O275+O279)</f>
        <v>2998</v>
      </c>
    </row>
    <row r="248" customFormat="false" ht="12.75" hidden="false" customHeight="false" outlineLevel="0" collapsed="false">
      <c r="A248" s="195" t="s">
        <v>52</v>
      </c>
      <c r="B248" s="196" t="n">
        <v>2015</v>
      </c>
      <c r="C248" s="196" t="n">
        <f aca="false">SUM(C252+C260+C256+C264+C268+C272+C276+C280)</f>
        <v>375</v>
      </c>
      <c r="D248" s="196" t="n">
        <f aca="false">SUM(D252+D256+D260+D264+D268+D272+D276+D280)</f>
        <v>306</v>
      </c>
      <c r="E248" s="196" t="n">
        <f aca="false">SUM(E252+E256+E260+E264+E268+E272+E276+E280)</f>
        <v>343</v>
      </c>
      <c r="F248" s="196" t="n">
        <f aca="false">SUM(F252+F256+F260+F264+F268+F272+F276+F280)</f>
        <v>292</v>
      </c>
      <c r="G248" s="196" t="n">
        <f aca="false">SUM(G252+G256+G260+G264+G268+G272+G276+G280)</f>
        <v>331</v>
      </c>
      <c r="H248" s="196" t="n">
        <f aca="false">SUM(H252+H256+H260+H264+H268+H272+H276+H280)</f>
        <v>355</v>
      </c>
      <c r="I248" s="196" t="n">
        <f aca="false">SUM(I252+I256+I260+I264+I268+I272+I276+I280)</f>
        <v>303</v>
      </c>
      <c r="J248" s="196" t="n">
        <f aca="false">SUM(J252+J256+J260+J264+J268+J272+J276+J280)</f>
        <v>327</v>
      </c>
      <c r="K248" s="196" t="n">
        <f aca="false">SUM(K252+K256+K260+K264+K268+K272+K276+K280)</f>
        <v>291</v>
      </c>
      <c r="L248" s="196" t="n">
        <f aca="false">SUM(L252+L256+L260+L264+L268+L272+L276+L280)</f>
        <v>383</v>
      </c>
      <c r="M248" s="196"/>
      <c r="N248" s="196"/>
      <c r="O248" s="196" t="n">
        <f aca="false">SUM(C248:N248)</f>
        <v>3306</v>
      </c>
    </row>
    <row r="249" customFormat="false" ht="12.75" hidden="false" customHeight="false" outlineLevel="0" collapsed="false">
      <c r="A249" s="195" t="s">
        <v>209</v>
      </c>
      <c r="B249" s="197" t="s">
        <v>210</v>
      </c>
      <c r="C249" s="196" t="n">
        <f aca="false">C247-C248</f>
        <v>-40</v>
      </c>
      <c r="D249" s="196" t="n">
        <f aca="false">D247-D248</f>
        <v>4</v>
      </c>
      <c r="E249" s="196" t="n">
        <f aca="false">E247-E248</f>
        <v>-45</v>
      </c>
      <c r="F249" s="196" t="n">
        <f aca="false">F247-F248</f>
        <v>-36</v>
      </c>
      <c r="G249" s="196" t="n">
        <f aca="false">G247-G248</f>
        <v>-72</v>
      </c>
      <c r="H249" s="196" t="n">
        <f aca="false">H247-H248</f>
        <v>-91</v>
      </c>
      <c r="I249" s="196" t="n">
        <f aca="false">I247-I248</f>
        <v>-16</v>
      </c>
      <c r="J249" s="196" t="n">
        <f aca="false">J247-J248</f>
        <v>22</v>
      </c>
      <c r="K249" s="196" t="n">
        <f aca="false">K247-K248</f>
        <v>25</v>
      </c>
      <c r="L249" s="196" t="n">
        <f aca="false">L247-L248</f>
        <v>-59</v>
      </c>
      <c r="M249" s="196"/>
      <c r="N249" s="196"/>
      <c r="O249" s="196" t="n">
        <f aca="false">O247-O248</f>
        <v>-308</v>
      </c>
    </row>
    <row r="250" customFormat="false" ht="13.5" hidden="false" customHeight="false" outlineLevel="0" collapsed="false">
      <c r="A250" s="199"/>
      <c r="B250" s="200" t="s">
        <v>9</v>
      </c>
      <c r="C250" s="201" t="n">
        <f aca="false">C249/C248</f>
        <v>-0.106666666666667</v>
      </c>
      <c r="D250" s="201" t="n">
        <f aca="false">D249/D248</f>
        <v>0.0130718954248366</v>
      </c>
      <c r="E250" s="201" t="n">
        <f aca="false">E249/E248</f>
        <v>-0.131195335276968</v>
      </c>
      <c r="F250" s="201" t="n">
        <f aca="false">F249/F248</f>
        <v>-0.123287671232877</v>
      </c>
      <c r="G250" s="201" t="n">
        <f aca="false">G249/G248</f>
        <v>-0.217522658610272</v>
      </c>
      <c r="H250" s="201" t="n">
        <f aca="false">H249/H248</f>
        <v>-0.256338028169014</v>
      </c>
      <c r="I250" s="201" t="n">
        <f aca="false">I249/I248</f>
        <v>-0.0528052805280528</v>
      </c>
      <c r="J250" s="201" t="n">
        <f aca="false">J249/J248</f>
        <v>0.0672782874617737</v>
      </c>
      <c r="K250" s="201" t="n">
        <f aca="false">K249/K248</f>
        <v>0.0859106529209622</v>
      </c>
      <c r="L250" s="201" t="n">
        <f aca="false">L249/L248</f>
        <v>-0.154046997389034</v>
      </c>
      <c r="M250" s="201"/>
      <c r="N250" s="201"/>
      <c r="O250" s="201" t="n">
        <f aca="false">O249/O248</f>
        <v>-0.0931639443436177</v>
      </c>
    </row>
    <row r="251" customFormat="false" ht="12.75" hidden="false" customHeight="false" outlineLevel="0" collapsed="false">
      <c r="A251" s="198"/>
      <c r="B251" s="194" t="n">
        <v>2016</v>
      </c>
      <c r="C251" s="194" t="n">
        <v>8</v>
      </c>
      <c r="D251" s="194" t="n">
        <v>4</v>
      </c>
      <c r="E251" s="194" t="n">
        <v>3</v>
      </c>
      <c r="F251" s="194" t="n">
        <v>4</v>
      </c>
      <c r="G251" s="194" t="n">
        <v>1</v>
      </c>
      <c r="H251" s="194" t="n">
        <v>8</v>
      </c>
      <c r="I251" s="194" t="n">
        <v>11</v>
      </c>
      <c r="J251" s="194" t="n">
        <v>6</v>
      </c>
      <c r="K251" s="194" t="n">
        <v>1</v>
      </c>
      <c r="L251" s="194" t="n">
        <v>10</v>
      </c>
      <c r="M251" s="194"/>
      <c r="N251" s="194"/>
      <c r="O251" s="194" t="n">
        <f aca="false">SUM(C251:N251)</f>
        <v>56</v>
      </c>
    </row>
    <row r="252" customFormat="false" ht="12.75" hidden="false" customHeight="false" outlineLevel="0" collapsed="false">
      <c r="A252" s="195" t="s">
        <v>211</v>
      </c>
      <c r="B252" s="196" t="n">
        <v>2015</v>
      </c>
      <c r="C252" s="196" t="n">
        <v>4</v>
      </c>
      <c r="D252" s="196" t="n">
        <v>3</v>
      </c>
      <c r="E252" s="196" t="n">
        <v>6</v>
      </c>
      <c r="F252" s="196" t="n">
        <v>2</v>
      </c>
      <c r="G252" s="196" t="n">
        <v>14</v>
      </c>
      <c r="H252" s="196" t="n">
        <v>10</v>
      </c>
      <c r="I252" s="196" t="n">
        <v>10</v>
      </c>
      <c r="J252" s="196" t="n">
        <v>5</v>
      </c>
      <c r="K252" s="196" t="n">
        <v>5</v>
      </c>
      <c r="L252" s="196" t="n">
        <v>9</v>
      </c>
      <c r="M252" s="196"/>
      <c r="N252" s="196"/>
      <c r="O252" s="196" t="n">
        <f aca="false">SUM(C252:N252)</f>
        <v>68</v>
      </c>
    </row>
    <row r="253" customFormat="false" ht="12.75" hidden="false" customHeight="false" outlineLevel="0" collapsed="false">
      <c r="A253" s="195" t="s">
        <v>212</v>
      </c>
      <c r="B253" s="202" t="s">
        <v>210</v>
      </c>
      <c r="C253" s="196" t="n">
        <f aca="false">C251-C252</f>
        <v>4</v>
      </c>
      <c r="D253" s="196" t="n">
        <f aca="false">D251-D252</f>
        <v>1</v>
      </c>
      <c r="E253" s="196" t="n">
        <f aca="false">E251-E252</f>
        <v>-3</v>
      </c>
      <c r="F253" s="196" t="n">
        <f aca="false">F251-F252</f>
        <v>2</v>
      </c>
      <c r="G253" s="196" t="n">
        <f aca="false">G251-G252</f>
        <v>-13</v>
      </c>
      <c r="H253" s="196" t="n">
        <f aca="false">H251-H252</f>
        <v>-2</v>
      </c>
      <c r="I253" s="196" t="n">
        <f aca="false">I251-I252</f>
        <v>1</v>
      </c>
      <c r="J253" s="196" t="n">
        <f aca="false">J251-J252</f>
        <v>1</v>
      </c>
      <c r="K253" s="196" t="n">
        <f aca="false">K251-K252</f>
        <v>-4</v>
      </c>
      <c r="L253" s="196" t="n">
        <f aca="false">L251-L252</f>
        <v>1</v>
      </c>
      <c r="M253" s="196"/>
      <c r="N253" s="196"/>
      <c r="O253" s="196" t="n">
        <f aca="false">O251-O252</f>
        <v>-12</v>
      </c>
    </row>
    <row r="254" customFormat="false" ht="13.5" hidden="false" customHeight="false" outlineLevel="0" collapsed="false">
      <c r="A254" s="199"/>
      <c r="B254" s="200" t="s">
        <v>9</v>
      </c>
      <c r="C254" s="201" t="n">
        <f aca="false">C253/C252</f>
        <v>1</v>
      </c>
      <c r="D254" s="201" t="n">
        <f aca="false">D253/D252</f>
        <v>0.333333333333333</v>
      </c>
      <c r="E254" s="201" t="n">
        <f aca="false">E253/E252</f>
        <v>-0.5</v>
      </c>
      <c r="F254" s="201" t="n">
        <f aca="false">F253/F252</f>
        <v>1</v>
      </c>
      <c r="G254" s="201" t="n">
        <f aca="false">G253/G252</f>
        <v>-0.928571428571429</v>
      </c>
      <c r="H254" s="201" t="n">
        <f aca="false">H253/H252</f>
        <v>-0.2</v>
      </c>
      <c r="I254" s="201" t="n">
        <f aca="false">I253/I252</f>
        <v>0.1</v>
      </c>
      <c r="J254" s="201" t="n">
        <f aca="false">J253/J252</f>
        <v>0.2</v>
      </c>
      <c r="K254" s="201" t="n">
        <f aca="false">K253/K252</f>
        <v>-0.8</v>
      </c>
      <c r="L254" s="201" t="n">
        <f aca="false">L253/L252</f>
        <v>0.111111111111111</v>
      </c>
      <c r="M254" s="201"/>
      <c r="N254" s="201"/>
      <c r="O254" s="201" t="n">
        <f aca="false">O253/O252</f>
        <v>-0.176470588235294</v>
      </c>
    </row>
    <row r="255" customFormat="false" ht="12.75" hidden="false" customHeight="false" outlineLevel="0" collapsed="false">
      <c r="A255" s="198"/>
      <c r="B255" s="194" t="n">
        <v>2016</v>
      </c>
      <c r="C255" s="204" t="n">
        <v>1</v>
      </c>
      <c r="D255" s="204" t="n">
        <v>1</v>
      </c>
      <c r="E255" s="204" t="n">
        <v>3</v>
      </c>
      <c r="F255" s="204" t="n">
        <v>1</v>
      </c>
      <c r="G255" s="204" t="n">
        <v>3</v>
      </c>
      <c r="H255" s="204" t="n">
        <v>1</v>
      </c>
      <c r="I255" s="204" t="n">
        <v>0</v>
      </c>
      <c r="J255" s="204" t="n">
        <v>0</v>
      </c>
      <c r="K255" s="204" t="n">
        <v>0</v>
      </c>
      <c r="L255" s="204" t="n">
        <v>0</v>
      </c>
      <c r="M255" s="204"/>
      <c r="N255" s="204"/>
      <c r="O255" s="194" t="n">
        <f aca="false">SUM(C255:N255)</f>
        <v>10</v>
      </c>
    </row>
    <row r="256" customFormat="false" ht="12.75" hidden="false" customHeight="false" outlineLevel="0" collapsed="false">
      <c r="A256" s="203" t="s">
        <v>213</v>
      </c>
      <c r="B256" s="196" t="n">
        <v>2015</v>
      </c>
      <c r="C256" s="196" t="n">
        <v>1</v>
      </c>
      <c r="D256" s="196" t="n">
        <v>0</v>
      </c>
      <c r="E256" s="196" t="n">
        <v>2</v>
      </c>
      <c r="F256" s="196" t="n">
        <v>0</v>
      </c>
      <c r="G256" s="196" t="n">
        <v>0</v>
      </c>
      <c r="H256" s="196" t="n">
        <v>0</v>
      </c>
      <c r="I256" s="196" t="n">
        <v>1</v>
      </c>
      <c r="J256" s="196" t="n">
        <v>1</v>
      </c>
      <c r="K256" s="196" t="n">
        <v>0</v>
      </c>
      <c r="L256" s="196" t="n">
        <v>3</v>
      </c>
      <c r="M256" s="196"/>
      <c r="N256" s="196"/>
      <c r="O256" s="196" t="n">
        <f aca="false">SUM(C256:N256)</f>
        <v>8</v>
      </c>
    </row>
    <row r="257" customFormat="false" ht="12.75" hidden="false" customHeight="false" outlineLevel="0" collapsed="false">
      <c r="A257" s="195" t="s">
        <v>214</v>
      </c>
      <c r="B257" s="202" t="s">
        <v>210</v>
      </c>
      <c r="C257" s="196" t="n">
        <f aca="false">C255-C256</f>
        <v>0</v>
      </c>
      <c r="D257" s="196" t="n">
        <f aca="false">D255-D256</f>
        <v>1</v>
      </c>
      <c r="E257" s="196" t="n">
        <f aca="false">E255-E256</f>
        <v>1</v>
      </c>
      <c r="F257" s="196" t="n">
        <f aca="false">F255-F256</f>
        <v>1</v>
      </c>
      <c r="G257" s="196" t="n">
        <f aca="false">G255-G256</f>
        <v>3</v>
      </c>
      <c r="H257" s="196" t="n">
        <f aca="false">H255-H256</f>
        <v>1</v>
      </c>
      <c r="I257" s="196" t="n">
        <f aca="false">I255-I256</f>
        <v>-1</v>
      </c>
      <c r="J257" s="196" t="n">
        <f aca="false">J255-J256</f>
        <v>-1</v>
      </c>
      <c r="K257" s="196" t="n">
        <f aca="false">K255-K256</f>
        <v>0</v>
      </c>
      <c r="L257" s="196" t="n">
        <f aca="false">L255-L256</f>
        <v>-3</v>
      </c>
      <c r="M257" s="196"/>
      <c r="N257" s="196"/>
      <c r="O257" s="196" t="n">
        <f aca="false">O255-O256</f>
        <v>2</v>
      </c>
    </row>
    <row r="258" customFormat="false" ht="13.5" hidden="false" customHeight="false" outlineLevel="0" collapsed="false">
      <c r="A258" s="199"/>
      <c r="B258" s="200" t="s">
        <v>9</v>
      </c>
      <c r="C258" s="201" t="n">
        <f aca="false">C257/C256</f>
        <v>0</v>
      </c>
      <c r="D258" s="201" t="n">
        <v>0</v>
      </c>
      <c r="E258" s="201" t="n">
        <f aca="false">E257/E256</f>
        <v>0.5</v>
      </c>
      <c r="F258" s="201" t="n">
        <v>0</v>
      </c>
      <c r="G258" s="201" t="n">
        <v>0</v>
      </c>
      <c r="H258" s="201" t="n">
        <v>0</v>
      </c>
      <c r="I258" s="201" t="n">
        <f aca="false">I257/I256</f>
        <v>-1</v>
      </c>
      <c r="J258" s="201" t="n">
        <f aca="false">J257/J256</f>
        <v>-1</v>
      </c>
      <c r="K258" s="201" t="n">
        <v>0</v>
      </c>
      <c r="L258" s="201" t="n">
        <f aca="false">L257/L256</f>
        <v>-1</v>
      </c>
      <c r="M258" s="201"/>
      <c r="N258" s="201"/>
      <c r="O258" s="201" t="n">
        <f aca="false">O257/O256</f>
        <v>0.25</v>
      </c>
    </row>
    <row r="259" customFormat="false" ht="12.75" hidden="false" customHeight="false" outlineLevel="0" collapsed="false">
      <c r="A259" s="198"/>
      <c r="B259" s="194" t="n">
        <v>2016</v>
      </c>
      <c r="C259" s="204" t="n">
        <v>0</v>
      </c>
      <c r="D259" s="204" t="n">
        <v>0</v>
      </c>
      <c r="E259" s="204" t="n">
        <v>0</v>
      </c>
      <c r="F259" s="204" t="n">
        <v>0</v>
      </c>
      <c r="G259" s="204" t="n">
        <v>0</v>
      </c>
      <c r="H259" s="204" t="n">
        <v>0</v>
      </c>
      <c r="I259" s="204" t="n">
        <v>0</v>
      </c>
      <c r="J259" s="204" t="n">
        <v>0</v>
      </c>
      <c r="K259" s="204" t="n">
        <v>0</v>
      </c>
      <c r="L259" s="204" t="n">
        <v>0</v>
      </c>
      <c r="M259" s="204"/>
      <c r="N259" s="204"/>
      <c r="O259" s="194" t="n">
        <f aca="false">SUM(C259:N259)</f>
        <v>0</v>
      </c>
    </row>
    <row r="260" customFormat="false" ht="12.75" hidden="false" customHeight="false" outlineLevel="0" collapsed="false">
      <c r="A260" s="203" t="s">
        <v>215</v>
      </c>
      <c r="B260" s="196" t="n">
        <v>2015</v>
      </c>
      <c r="C260" s="196" t="n">
        <v>0</v>
      </c>
      <c r="D260" s="196" t="n">
        <v>0</v>
      </c>
      <c r="E260" s="196" t="n">
        <v>0</v>
      </c>
      <c r="F260" s="196" t="n">
        <v>0</v>
      </c>
      <c r="G260" s="196" t="n">
        <v>0</v>
      </c>
      <c r="H260" s="196" t="n">
        <v>0</v>
      </c>
      <c r="I260" s="196" t="n">
        <v>1</v>
      </c>
      <c r="J260" s="196" t="n">
        <v>0</v>
      </c>
      <c r="K260" s="196" t="n">
        <v>0</v>
      </c>
      <c r="L260" s="196" t="n">
        <v>0</v>
      </c>
      <c r="M260" s="196"/>
      <c r="N260" s="196"/>
      <c r="O260" s="196" t="n">
        <f aca="false">SUM(C260:N260)</f>
        <v>1</v>
      </c>
    </row>
    <row r="261" customFormat="false" ht="12.75" hidden="false" customHeight="false" outlineLevel="0" collapsed="false">
      <c r="A261" s="203" t="s">
        <v>216</v>
      </c>
      <c r="B261" s="202" t="s">
        <v>210</v>
      </c>
      <c r="C261" s="196" t="n">
        <f aca="false">C259-C260</f>
        <v>0</v>
      </c>
      <c r="D261" s="196" t="n">
        <f aca="false">D259-D260</f>
        <v>0</v>
      </c>
      <c r="E261" s="196" t="n">
        <f aca="false">E259-E260</f>
        <v>0</v>
      </c>
      <c r="F261" s="196" t="n">
        <f aca="false">F259-F260</f>
        <v>0</v>
      </c>
      <c r="G261" s="196" t="n">
        <f aca="false">G259-G260</f>
        <v>0</v>
      </c>
      <c r="H261" s="196" t="n">
        <f aca="false">H259-H260</f>
        <v>0</v>
      </c>
      <c r="I261" s="196" t="n">
        <f aca="false">I259-I260</f>
        <v>-1</v>
      </c>
      <c r="J261" s="196" t="n">
        <f aca="false">J259-J260</f>
        <v>0</v>
      </c>
      <c r="K261" s="196" t="n">
        <f aca="false">K259-K260</f>
        <v>0</v>
      </c>
      <c r="L261" s="196" t="n">
        <f aca="false">L259-L260</f>
        <v>0</v>
      </c>
      <c r="M261" s="196"/>
      <c r="N261" s="196"/>
      <c r="O261" s="196" t="n">
        <f aca="false">O259-O260</f>
        <v>-1</v>
      </c>
    </row>
    <row r="262" customFormat="false" ht="13.5" hidden="false" customHeight="false" outlineLevel="0" collapsed="false">
      <c r="A262" s="199"/>
      <c r="B262" s="200" t="s">
        <v>9</v>
      </c>
      <c r="C262" s="201" t="n">
        <v>0</v>
      </c>
      <c r="D262" s="201" t="n">
        <v>0</v>
      </c>
      <c r="E262" s="201" t="n">
        <v>0</v>
      </c>
      <c r="F262" s="201" t="n">
        <v>0</v>
      </c>
      <c r="G262" s="201" t="n">
        <v>0</v>
      </c>
      <c r="H262" s="201" t="n">
        <v>0</v>
      </c>
      <c r="I262" s="201" t="n">
        <f aca="false">I261/I260</f>
        <v>-1</v>
      </c>
      <c r="J262" s="201" t="n">
        <v>0</v>
      </c>
      <c r="K262" s="201" t="n">
        <v>0</v>
      </c>
      <c r="L262" s="201" t="n">
        <v>0</v>
      </c>
      <c r="M262" s="201"/>
      <c r="N262" s="201"/>
      <c r="O262" s="201" t="n">
        <v>0</v>
      </c>
    </row>
    <row r="263" customFormat="false" ht="12.75" hidden="false" customHeight="false" outlineLevel="0" collapsed="false">
      <c r="A263" s="198"/>
      <c r="B263" s="194" t="n">
        <v>2016</v>
      </c>
      <c r="C263" s="204" t="n">
        <v>38</v>
      </c>
      <c r="D263" s="204" t="n">
        <v>42</v>
      </c>
      <c r="E263" s="204" t="n">
        <v>24</v>
      </c>
      <c r="F263" s="204" t="n">
        <v>17</v>
      </c>
      <c r="G263" s="204" t="n">
        <v>21</v>
      </c>
      <c r="H263" s="204" t="n">
        <v>20</v>
      </c>
      <c r="I263" s="204" t="n">
        <v>16</v>
      </c>
      <c r="J263" s="204" t="n">
        <v>26</v>
      </c>
      <c r="K263" s="204" t="n">
        <v>23</v>
      </c>
      <c r="L263" s="204" t="n">
        <v>28</v>
      </c>
      <c r="M263" s="204"/>
      <c r="N263" s="204"/>
      <c r="O263" s="194" t="n">
        <f aca="false">SUM(C263:N263)</f>
        <v>255</v>
      </c>
    </row>
    <row r="264" customFormat="false" ht="12.75" hidden="false" customHeight="false" outlineLevel="0" collapsed="false">
      <c r="A264" s="195" t="s">
        <v>217</v>
      </c>
      <c r="B264" s="196" t="n">
        <v>2015</v>
      </c>
      <c r="C264" s="196" t="n">
        <v>41</v>
      </c>
      <c r="D264" s="196" t="n">
        <v>39</v>
      </c>
      <c r="E264" s="196" t="n">
        <v>29</v>
      </c>
      <c r="F264" s="196" t="n">
        <v>31</v>
      </c>
      <c r="G264" s="196" t="n">
        <v>37</v>
      </c>
      <c r="H264" s="196" t="n">
        <v>37</v>
      </c>
      <c r="I264" s="196" t="n">
        <v>33</v>
      </c>
      <c r="J264" s="196" t="n">
        <v>37</v>
      </c>
      <c r="K264" s="196" t="n">
        <v>33</v>
      </c>
      <c r="L264" s="196" t="n">
        <v>47</v>
      </c>
      <c r="M264" s="196"/>
      <c r="N264" s="196"/>
      <c r="O264" s="196" t="n">
        <f aca="false">SUM(C264:N264)</f>
        <v>364</v>
      </c>
    </row>
    <row r="265" customFormat="false" ht="12.75" hidden="false" customHeight="false" outlineLevel="0" collapsed="false">
      <c r="A265" s="198"/>
      <c r="B265" s="202" t="s">
        <v>210</v>
      </c>
      <c r="C265" s="196" t="n">
        <f aca="false">C263-C264</f>
        <v>-3</v>
      </c>
      <c r="D265" s="196" t="n">
        <f aca="false">D263-D264</f>
        <v>3</v>
      </c>
      <c r="E265" s="196" t="n">
        <f aca="false">E263-E264</f>
        <v>-5</v>
      </c>
      <c r="F265" s="196" t="n">
        <f aca="false">F263-F264</f>
        <v>-14</v>
      </c>
      <c r="G265" s="196" t="n">
        <f aca="false">G263-G264</f>
        <v>-16</v>
      </c>
      <c r="H265" s="196" t="n">
        <f aca="false">H263-H264</f>
        <v>-17</v>
      </c>
      <c r="I265" s="196" t="n">
        <f aca="false">I263-I264</f>
        <v>-17</v>
      </c>
      <c r="J265" s="196" t="n">
        <f aca="false">J263-J264</f>
        <v>-11</v>
      </c>
      <c r="K265" s="196" t="n">
        <f aca="false">K263-K264</f>
        <v>-10</v>
      </c>
      <c r="L265" s="196" t="n">
        <f aca="false">L263-L264</f>
        <v>-19</v>
      </c>
      <c r="M265" s="196"/>
      <c r="N265" s="196"/>
      <c r="O265" s="196" t="n">
        <f aca="false">O263-O264</f>
        <v>-109</v>
      </c>
    </row>
    <row r="266" customFormat="false" ht="13.5" hidden="false" customHeight="false" outlineLevel="0" collapsed="false">
      <c r="A266" s="199"/>
      <c r="B266" s="200" t="s">
        <v>9</v>
      </c>
      <c r="C266" s="201" t="n">
        <f aca="false">C265/C264</f>
        <v>-0.0731707317073171</v>
      </c>
      <c r="D266" s="201" t="n">
        <f aca="false">D265/D264</f>
        <v>0.0769230769230769</v>
      </c>
      <c r="E266" s="201" t="n">
        <f aca="false">E265/E264</f>
        <v>-0.172413793103448</v>
      </c>
      <c r="F266" s="201" t="n">
        <f aca="false">F265/F264</f>
        <v>-0.451612903225806</v>
      </c>
      <c r="G266" s="201" t="n">
        <f aca="false">G265/G264</f>
        <v>-0.432432432432432</v>
      </c>
      <c r="H266" s="201" t="n">
        <f aca="false">H265/H264</f>
        <v>-0.45945945945946</v>
      </c>
      <c r="I266" s="201" t="n">
        <f aca="false">I265/I264</f>
        <v>-0.515151515151515</v>
      </c>
      <c r="J266" s="201" t="n">
        <f aca="false">J265/J264</f>
        <v>-0.297297297297297</v>
      </c>
      <c r="K266" s="201" t="n">
        <f aca="false">K265/K264</f>
        <v>-0.303030303030303</v>
      </c>
      <c r="L266" s="201" t="n">
        <f aca="false">L265/L264</f>
        <v>-0.404255319148936</v>
      </c>
      <c r="M266" s="201"/>
      <c r="N266" s="201"/>
      <c r="O266" s="201" t="n">
        <f aca="false">O265/O264</f>
        <v>-0.299450549450549</v>
      </c>
    </row>
    <row r="267" customFormat="false" ht="12.75" hidden="false" customHeight="false" outlineLevel="0" collapsed="false">
      <c r="A267" s="198"/>
      <c r="B267" s="194" t="n">
        <v>2016</v>
      </c>
      <c r="C267" s="204" t="n">
        <v>23</v>
      </c>
      <c r="D267" s="204" t="n">
        <v>12</v>
      </c>
      <c r="E267" s="204" t="n">
        <v>23</v>
      </c>
      <c r="F267" s="204" t="n">
        <v>20</v>
      </c>
      <c r="G267" s="204" t="n">
        <v>10</v>
      </c>
      <c r="H267" s="204" t="n">
        <v>22</v>
      </c>
      <c r="I267" s="204" t="n">
        <v>26</v>
      </c>
      <c r="J267" s="204" t="n">
        <v>21</v>
      </c>
      <c r="K267" s="204" t="n">
        <v>11</v>
      </c>
      <c r="L267" s="204" t="n">
        <v>25</v>
      </c>
      <c r="M267" s="204"/>
      <c r="N267" s="204"/>
      <c r="O267" s="194" t="n">
        <f aca="false">SUM(C267:N267)</f>
        <v>193</v>
      </c>
    </row>
    <row r="268" customFormat="false" ht="12.75" hidden="false" customHeight="false" outlineLevel="0" collapsed="false">
      <c r="A268" s="195" t="s">
        <v>218</v>
      </c>
      <c r="B268" s="196" t="n">
        <v>2015</v>
      </c>
      <c r="C268" s="196" t="n">
        <v>16</v>
      </c>
      <c r="D268" s="196" t="n">
        <v>20</v>
      </c>
      <c r="E268" s="196" t="n">
        <v>35</v>
      </c>
      <c r="F268" s="196" t="n">
        <v>28</v>
      </c>
      <c r="G268" s="196" t="n">
        <v>21</v>
      </c>
      <c r="H268" s="196" t="n">
        <v>19</v>
      </c>
      <c r="I268" s="196" t="n">
        <v>21</v>
      </c>
      <c r="J268" s="196" t="n">
        <v>16</v>
      </c>
      <c r="K268" s="196" t="n">
        <v>20</v>
      </c>
      <c r="L268" s="196" t="n">
        <v>20</v>
      </c>
      <c r="M268" s="196"/>
      <c r="N268" s="196"/>
      <c r="O268" s="196" t="n">
        <f aca="false">SUM(C268:N268)</f>
        <v>216</v>
      </c>
    </row>
    <row r="269" customFormat="false" ht="12.75" hidden="false" customHeight="false" outlineLevel="0" collapsed="false">
      <c r="A269" s="195" t="s">
        <v>219</v>
      </c>
      <c r="B269" s="202" t="s">
        <v>210</v>
      </c>
      <c r="C269" s="196" t="n">
        <f aca="false">C267-C268</f>
        <v>7</v>
      </c>
      <c r="D269" s="196" t="n">
        <f aca="false">D267-D268</f>
        <v>-8</v>
      </c>
      <c r="E269" s="196" t="n">
        <f aca="false">E267-E268</f>
        <v>-12</v>
      </c>
      <c r="F269" s="196" t="n">
        <f aca="false">F267-F268</f>
        <v>-8</v>
      </c>
      <c r="G269" s="196" t="n">
        <f aca="false">G267-G268</f>
        <v>-11</v>
      </c>
      <c r="H269" s="196" t="n">
        <f aca="false">H267-H268</f>
        <v>3</v>
      </c>
      <c r="I269" s="196" t="n">
        <f aca="false">I267-I268</f>
        <v>5</v>
      </c>
      <c r="J269" s="196" t="n">
        <f aca="false">J267-J268</f>
        <v>5</v>
      </c>
      <c r="K269" s="196" t="n">
        <f aca="false">K267-K268</f>
        <v>-9</v>
      </c>
      <c r="L269" s="196" t="n">
        <f aca="false">L267-L268</f>
        <v>5</v>
      </c>
      <c r="M269" s="196"/>
      <c r="N269" s="196"/>
      <c r="O269" s="196" t="n">
        <f aca="false">O267-O268</f>
        <v>-23</v>
      </c>
    </row>
    <row r="270" customFormat="false" ht="13.5" hidden="false" customHeight="false" outlineLevel="0" collapsed="false">
      <c r="A270" s="199" t="s">
        <v>2</v>
      </c>
      <c r="B270" s="200" t="s">
        <v>9</v>
      </c>
      <c r="C270" s="201" t="n">
        <f aca="false">C269/C268</f>
        <v>0.4375</v>
      </c>
      <c r="D270" s="201" t="n">
        <f aca="false">D269/D268</f>
        <v>-0.4</v>
      </c>
      <c r="E270" s="201" t="n">
        <f aca="false">E269/E268</f>
        <v>-0.342857142857143</v>
      </c>
      <c r="F270" s="201" t="n">
        <f aca="false">F269/F268</f>
        <v>-0.285714285714286</v>
      </c>
      <c r="G270" s="201" t="n">
        <f aca="false">G269/G268</f>
        <v>-0.523809523809524</v>
      </c>
      <c r="H270" s="201" t="n">
        <f aca="false">H269/H268</f>
        <v>0.157894736842105</v>
      </c>
      <c r="I270" s="201" t="n">
        <f aca="false">I269/I268</f>
        <v>0.238095238095238</v>
      </c>
      <c r="J270" s="201" t="n">
        <f aca="false">J269/J268</f>
        <v>0.3125</v>
      </c>
      <c r="K270" s="201" t="n">
        <f aca="false">K269/K268</f>
        <v>-0.45</v>
      </c>
      <c r="L270" s="201" t="n">
        <f aca="false">L269/L268</f>
        <v>0.25</v>
      </c>
      <c r="M270" s="201"/>
      <c r="N270" s="201"/>
      <c r="O270" s="201" t="n">
        <f aca="false">O269/O268</f>
        <v>-0.106481481481481</v>
      </c>
    </row>
    <row r="271" customFormat="false" ht="12.75" hidden="false" customHeight="false" outlineLevel="0" collapsed="false">
      <c r="A271" s="198"/>
      <c r="B271" s="194" t="n">
        <v>2016</v>
      </c>
      <c r="C271" s="204" t="n">
        <v>56</v>
      </c>
      <c r="D271" s="204" t="n">
        <v>66</v>
      </c>
      <c r="E271" s="204" t="n">
        <v>48</v>
      </c>
      <c r="F271" s="204" t="n">
        <v>49</v>
      </c>
      <c r="G271" s="204" t="n">
        <v>55</v>
      </c>
      <c r="H271" s="204" t="n">
        <v>53</v>
      </c>
      <c r="I271" s="204" t="n">
        <v>49</v>
      </c>
      <c r="J271" s="204" t="n">
        <v>73</v>
      </c>
      <c r="K271" s="204" t="n">
        <v>80</v>
      </c>
      <c r="L271" s="204" t="n">
        <v>65</v>
      </c>
      <c r="M271" s="204"/>
      <c r="N271" s="204"/>
      <c r="O271" s="194" t="n">
        <f aca="false">SUM(C271:N271)</f>
        <v>594</v>
      </c>
    </row>
    <row r="272" customFormat="false" ht="12.75" hidden="false" customHeight="false" outlineLevel="0" collapsed="false">
      <c r="A272" s="195" t="s">
        <v>220</v>
      </c>
      <c r="B272" s="196" t="n">
        <v>2015</v>
      </c>
      <c r="C272" s="196" t="n">
        <v>79</v>
      </c>
      <c r="D272" s="196" t="n">
        <v>59</v>
      </c>
      <c r="E272" s="196" t="n">
        <v>59</v>
      </c>
      <c r="F272" s="196" t="n">
        <v>58</v>
      </c>
      <c r="G272" s="196" t="n">
        <v>77</v>
      </c>
      <c r="H272" s="196" t="n">
        <v>77</v>
      </c>
      <c r="I272" s="196" t="n">
        <v>58</v>
      </c>
      <c r="J272" s="196" t="n">
        <v>77</v>
      </c>
      <c r="K272" s="196" t="n">
        <v>61</v>
      </c>
      <c r="L272" s="196" t="n">
        <v>79</v>
      </c>
      <c r="M272" s="196"/>
      <c r="N272" s="196"/>
      <c r="O272" s="196" t="n">
        <f aca="false">SUM(C272:N272)</f>
        <v>684</v>
      </c>
    </row>
    <row r="273" customFormat="false" ht="12.75" hidden="false" customHeight="false" outlineLevel="0" collapsed="false">
      <c r="A273" s="198"/>
      <c r="B273" s="202" t="s">
        <v>210</v>
      </c>
      <c r="C273" s="196" t="n">
        <f aca="false">C271-C272</f>
        <v>-23</v>
      </c>
      <c r="D273" s="196" t="n">
        <f aca="false">D271-D272</f>
        <v>7</v>
      </c>
      <c r="E273" s="196" t="n">
        <f aca="false">E271-E272</f>
        <v>-11</v>
      </c>
      <c r="F273" s="196" t="n">
        <f aca="false">F271-F272</f>
        <v>-9</v>
      </c>
      <c r="G273" s="196" t="n">
        <f aca="false">G271-G272</f>
        <v>-22</v>
      </c>
      <c r="H273" s="196" t="n">
        <f aca="false">H271-H272</f>
        <v>-24</v>
      </c>
      <c r="I273" s="196" t="n">
        <f aca="false">I271-I272</f>
        <v>-9</v>
      </c>
      <c r="J273" s="196" t="n">
        <f aca="false">J271-J272</f>
        <v>-4</v>
      </c>
      <c r="K273" s="196" t="n">
        <f aca="false">K271-K272</f>
        <v>19</v>
      </c>
      <c r="L273" s="196" t="n">
        <f aca="false">L271-L272</f>
        <v>-14</v>
      </c>
      <c r="M273" s="196"/>
      <c r="N273" s="196"/>
      <c r="O273" s="196" t="n">
        <f aca="false">O271-O272</f>
        <v>-90</v>
      </c>
    </row>
    <row r="274" customFormat="false" ht="13.5" hidden="false" customHeight="false" outlineLevel="0" collapsed="false">
      <c r="A274" s="199"/>
      <c r="B274" s="200" t="s">
        <v>9</v>
      </c>
      <c r="C274" s="201" t="n">
        <f aca="false">C273/C272</f>
        <v>-0.291139240506329</v>
      </c>
      <c r="D274" s="201" t="n">
        <f aca="false">D273/D272</f>
        <v>0.11864406779661</v>
      </c>
      <c r="E274" s="201" t="n">
        <f aca="false">E273/E272</f>
        <v>-0.186440677966102</v>
      </c>
      <c r="F274" s="201" t="n">
        <f aca="false">F273/F272</f>
        <v>-0.155172413793103</v>
      </c>
      <c r="G274" s="201" t="n">
        <f aca="false">G273/G272</f>
        <v>-0.285714285714286</v>
      </c>
      <c r="H274" s="201" t="n">
        <f aca="false">H273/H272</f>
        <v>-0.311688311688312</v>
      </c>
      <c r="I274" s="201" t="n">
        <f aca="false">I273/I272</f>
        <v>-0.155172413793103</v>
      </c>
      <c r="J274" s="201" t="n">
        <f aca="false">J273/J272</f>
        <v>-0.051948051948052</v>
      </c>
      <c r="K274" s="201" t="n">
        <f aca="false">K273/K272</f>
        <v>0.311475409836066</v>
      </c>
      <c r="L274" s="201" t="n">
        <f aca="false">L273/L272</f>
        <v>-0.177215189873418</v>
      </c>
      <c r="M274" s="201"/>
      <c r="N274" s="201"/>
      <c r="O274" s="201" t="n">
        <f aca="false">O273/O272</f>
        <v>-0.131578947368421</v>
      </c>
    </row>
    <row r="275" customFormat="false" ht="12.75" hidden="false" customHeight="false" outlineLevel="0" collapsed="false">
      <c r="A275" s="198"/>
      <c r="B275" s="194" t="n">
        <v>2016</v>
      </c>
      <c r="C275" s="204" t="n">
        <v>183</v>
      </c>
      <c r="D275" s="204" t="n">
        <v>164</v>
      </c>
      <c r="E275" s="204" t="n">
        <v>168</v>
      </c>
      <c r="F275" s="204" t="n">
        <v>137</v>
      </c>
      <c r="G275" s="204" t="n">
        <v>149</v>
      </c>
      <c r="H275" s="204" t="n">
        <v>143</v>
      </c>
      <c r="I275" s="204" t="n">
        <v>153</v>
      </c>
      <c r="J275" s="204" t="n">
        <v>186</v>
      </c>
      <c r="K275" s="204" t="n">
        <v>178</v>
      </c>
      <c r="L275" s="204" t="n">
        <v>175</v>
      </c>
      <c r="M275" s="204"/>
      <c r="N275" s="204"/>
      <c r="O275" s="194" t="n">
        <f aca="false">SUM(C275:N275)</f>
        <v>1636</v>
      </c>
    </row>
    <row r="276" customFormat="false" ht="12.75" hidden="false" customHeight="false" outlineLevel="0" collapsed="false">
      <c r="A276" s="195" t="s">
        <v>221</v>
      </c>
      <c r="B276" s="196" t="n">
        <v>2015</v>
      </c>
      <c r="C276" s="196" t="n">
        <v>210</v>
      </c>
      <c r="D276" s="196" t="n">
        <v>161</v>
      </c>
      <c r="E276" s="196" t="n">
        <v>185</v>
      </c>
      <c r="F276" s="196" t="n">
        <v>142</v>
      </c>
      <c r="G276" s="196" t="n">
        <v>154</v>
      </c>
      <c r="H276" s="196" t="n">
        <v>185</v>
      </c>
      <c r="I276" s="196" t="n">
        <v>147</v>
      </c>
      <c r="J276" s="196" t="n">
        <v>167</v>
      </c>
      <c r="K276" s="196" t="n">
        <v>151</v>
      </c>
      <c r="L276" s="196" t="n">
        <v>183</v>
      </c>
      <c r="M276" s="196"/>
      <c r="N276" s="196"/>
      <c r="O276" s="196" t="n">
        <f aca="false">SUM(C276:N276)</f>
        <v>1685</v>
      </c>
    </row>
    <row r="277" customFormat="false" ht="12.75" hidden="false" customHeight="false" outlineLevel="0" collapsed="false">
      <c r="A277" s="195" t="s">
        <v>222</v>
      </c>
      <c r="B277" s="202" t="s">
        <v>210</v>
      </c>
      <c r="C277" s="196" t="n">
        <f aca="false">C275-C276</f>
        <v>-27</v>
      </c>
      <c r="D277" s="196" t="n">
        <f aca="false">D275-D276</f>
        <v>3</v>
      </c>
      <c r="E277" s="196" t="n">
        <f aca="false">E275-E276</f>
        <v>-17</v>
      </c>
      <c r="F277" s="196" t="n">
        <f aca="false">F275-F276</f>
        <v>-5</v>
      </c>
      <c r="G277" s="196" t="n">
        <f aca="false">G275-G276</f>
        <v>-5</v>
      </c>
      <c r="H277" s="196" t="n">
        <f aca="false">H275-H276</f>
        <v>-42</v>
      </c>
      <c r="I277" s="196" t="n">
        <f aca="false">I275-I276</f>
        <v>6</v>
      </c>
      <c r="J277" s="196" t="n">
        <f aca="false">J275-J276</f>
        <v>19</v>
      </c>
      <c r="K277" s="196" t="n">
        <f aca="false">K275-K276</f>
        <v>27</v>
      </c>
      <c r="L277" s="196" t="n">
        <f aca="false">L275-L276</f>
        <v>-8</v>
      </c>
      <c r="M277" s="196"/>
      <c r="N277" s="196"/>
      <c r="O277" s="196" t="n">
        <f aca="false">O275-O276</f>
        <v>-49</v>
      </c>
    </row>
    <row r="278" customFormat="false" ht="13.5" hidden="false" customHeight="false" outlineLevel="0" collapsed="false">
      <c r="A278" s="199"/>
      <c r="B278" s="200" t="s">
        <v>9</v>
      </c>
      <c r="C278" s="201" t="n">
        <f aca="false">C277/C276</f>
        <v>-0.128571428571429</v>
      </c>
      <c r="D278" s="201" t="n">
        <f aca="false">D277/D276</f>
        <v>0.0186335403726708</v>
      </c>
      <c r="E278" s="201" t="n">
        <f aca="false">E277/E276</f>
        <v>-0.0918918918918919</v>
      </c>
      <c r="F278" s="201" t="n">
        <f aca="false">F277/F276</f>
        <v>-0.0352112676056338</v>
      </c>
      <c r="G278" s="201" t="n">
        <f aca="false">G277/G276</f>
        <v>-0.0324675324675325</v>
      </c>
      <c r="H278" s="201" t="n">
        <f aca="false">H277/H276</f>
        <v>-0.227027027027027</v>
      </c>
      <c r="I278" s="201" t="n">
        <f aca="false">I277/I276</f>
        <v>0.0408163265306122</v>
      </c>
      <c r="J278" s="201" t="n">
        <f aca="false">J277/J276</f>
        <v>0.11377245508982</v>
      </c>
      <c r="K278" s="201" t="n">
        <f aca="false">K277/K276</f>
        <v>0.178807947019868</v>
      </c>
      <c r="L278" s="201" t="n">
        <f aca="false">L277/L276</f>
        <v>-0.0437158469945355</v>
      </c>
      <c r="M278" s="201"/>
      <c r="N278" s="201"/>
      <c r="O278" s="201" t="n">
        <f aca="false">O277/O276</f>
        <v>-0.029080118694362</v>
      </c>
    </row>
    <row r="279" customFormat="false" ht="12.75" hidden="false" customHeight="false" outlineLevel="0" collapsed="false">
      <c r="A279" s="198"/>
      <c r="B279" s="194" t="n">
        <v>2016</v>
      </c>
      <c r="C279" s="204" t="n">
        <v>26</v>
      </c>
      <c r="D279" s="204" t="n">
        <v>21</v>
      </c>
      <c r="E279" s="204" t="n">
        <v>29</v>
      </c>
      <c r="F279" s="204" t="n">
        <v>28</v>
      </c>
      <c r="G279" s="204" t="n">
        <v>20</v>
      </c>
      <c r="H279" s="204" t="n">
        <v>17</v>
      </c>
      <c r="I279" s="204" t="n">
        <v>32</v>
      </c>
      <c r="J279" s="204" t="n">
        <v>37</v>
      </c>
      <c r="K279" s="204" t="n">
        <v>23</v>
      </c>
      <c r="L279" s="204" t="n">
        <v>21</v>
      </c>
      <c r="M279" s="204"/>
      <c r="N279" s="204"/>
      <c r="O279" s="194" t="n">
        <f aca="false">SUM(C279:N279)</f>
        <v>254</v>
      </c>
    </row>
    <row r="280" customFormat="false" ht="12.75" hidden="false" customHeight="false" outlineLevel="0" collapsed="false">
      <c r="A280" s="195" t="s">
        <v>223</v>
      </c>
      <c r="B280" s="196" t="n">
        <v>2015</v>
      </c>
      <c r="C280" s="196" t="n">
        <v>24</v>
      </c>
      <c r="D280" s="196" t="n">
        <v>24</v>
      </c>
      <c r="E280" s="196" t="n">
        <v>27</v>
      </c>
      <c r="F280" s="196" t="n">
        <v>31</v>
      </c>
      <c r="G280" s="196" t="n">
        <v>28</v>
      </c>
      <c r="H280" s="196" t="n">
        <v>27</v>
      </c>
      <c r="I280" s="196" t="n">
        <v>32</v>
      </c>
      <c r="J280" s="196" t="n">
        <v>24</v>
      </c>
      <c r="K280" s="196" t="n">
        <v>21</v>
      </c>
      <c r="L280" s="196" t="n">
        <v>42</v>
      </c>
      <c r="M280" s="196"/>
      <c r="N280" s="196"/>
      <c r="O280" s="196" t="n">
        <f aca="false">SUM(C280:N280)</f>
        <v>280</v>
      </c>
    </row>
    <row r="281" customFormat="false" ht="12.75" hidden="false" customHeight="false" outlineLevel="0" collapsed="false">
      <c r="A281" s="195" t="s">
        <v>224</v>
      </c>
      <c r="B281" s="202" t="s">
        <v>210</v>
      </c>
      <c r="C281" s="196" t="n">
        <f aca="false">C279-C280</f>
        <v>2</v>
      </c>
      <c r="D281" s="196" t="n">
        <f aca="false">D279-D280</f>
        <v>-3</v>
      </c>
      <c r="E281" s="196" t="n">
        <f aca="false">E279-E280</f>
        <v>2</v>
      </c>
      <c r="F281" s="196" t="n">
        <f aca="false">F279-F280</f>
        <v>-3</v>
      </c>
      <c r="G281" s="196" t="n">
        <f aca="false">G279-G280</f>
        <v>-8</v>
      </c>
      <c r="H281" s="196" t="n">
        <f aca="false">H279-H280</f>
        <v>-10</v>
      </c>
      <c r="I281" s="196" t="n">
        <f aca="false">I279-I280</f>
        <v>0</v>
      </c>
      <c r="J281" s="196" t="n">
        <f aca="false">J279-J280</f>
        <v>13</v>
      </c>
      <c r="K281" s="196" t="n">
        <f aca="false">K279-K280</f>
        <v>2</v>
      </c>
      <c r="L281" s="196" t="n">
        <f aca="false">L279-L280</f>
        <v>-21</v>
      </c>
      <c r="M281" s="196"/>
      <c r="N281" s="196"/>
      <c r="O281" s="196" t="n">
        <f aca="false">O279-O280</f>
        <v>-26</v>
      </c>
    </row>
    <row r="282" customFormat="false" ht="13.5" hidden="false" customHeight="false" outlineLevel="0" collapsed="false">
      <c r="A282" s="199"/>
      <c r="B282" s="200" t="s">
        <v>9</v>
      </c>
      <c r="C282" s="201" t="n">
        <f aca="false">C281/C280</f>
        <v>0.0833333333333333</v>
      </c>
      <c r="D282" s="201" t="n">
        <f aca="false">D281/D280</f>
        <v>-0.125</v>
      </c>
      <c r="E282" s="201" t="n">
        <f aca="false">E281/E280</f>
        <v>0.0740740740740741</v>
      </c>
      <c r="F282" s="201" t="n">
        <f aca="false">F281/F280</f>
        <v>-0.0967741935483871</v>
      </c>
      <c r="G282" s="201" t="n">
        <f aca="false">G281/G280</f>
        <v>-0.285714285714286</v>
      </c>
      <c r="H282" s="201" t="n">
        <f aca="false">H281/H280</f>
        <v>-0.37037037037037</v>
      </c>
      <c r="I282" s="201" t="n">
        <f aca="false">I281/I280</f>
        <v>0</v>
      </c>
      <c r="J282" s="201" t="n">
        <f aca="false">J281/J280</f>
        <v>0.541666666666667</v>
      </c>
      <c r="K282" s="201" t="n">
        <f aca="false">K281/K280</f>
        <v>0.0952380952380952</v>
      </c>
      <c r="L282" s="201" t="n">
        <f aca="false">L281/L280</f>
        <v>-0.5</v>
      </c>
      <c r="M282" s="201"/>
      <c r="N282" s="201"/>
      <c r="O282" s="201" t="n">
        <f aca="false">O281/O280</f>
        <v>-0.0928571428571429</v>
      </c>
    </row>
    <row r="284" customFormat="false" ht="12.75" hidden="false" customHeight="false" outlineLevel="0" collapsed="false">
      <c r="A284" s="209"/>
      <c r="B284" s="209"/>
      <c r="C284" s="209"/>
    </row>
    <row r="285" customFormat="false" ht="13.5" hidden="false" customHeight="false" outlineLevel="0" collapsed="false">
      <c r="A285" s="210" t="s">
        <v>130</v>
      </c>
      <c r="B285" s="209"/>
      <c r="C285" s="209"/>
    </row>
    <row r="286" customFormat="false" ht="13.5" hidden="false" customHeight="false" outlineLevel="0" collapsed="false">
      <c r="A286" s="0" t="s">
        <v>2</v>
      </c>
      <c r="B286" s="192" t="s">
        <v>196</v>
      </c>
      <c r="C286" s="192" t="s">
        <v>197</v>
      </c>
      <c r="D286" s="192" t="s">
        <v>198</v>
      </c>
      <c r="E286" s="192" t="s">
        <v>199</v>
      </c>
      <c r="F286" s="192" t="s">
        <v>200</v>
      </c>
      <c r="G286" s="192" t="s">
        <v>201</v>
      </c>
      <c r="H286" s="192" t="s">
        <v>202</v>
      </c>
      <c r="I286" s="192" t="s">
        <v>203</v>
      </c>
      <c r="J286" s="192" t="s">
        <v>204</v>
      </c>
      <c r="K286" s="192" t="s">
        <v>205</v>
      </c>
      <c r="L286" s="192" t="s">
        <v>206</v>
      </c>
      <c r="M286" s="192" t="s">
        <v>207</v>
      </c>
      <c r="N286" s="192" t="s">
        <v>208</v>
      </c>
      <c r="O286" s="192" t="s">
        <v>52</v>
      </c>
    </row>
    <row r="287" customFormat="false" ht="12.75" hidden="false" customHeight="false" outlineLevel="0" collapsed="false">
      <c r="A287" s="193"/>
      <c r="B287" s="194" t="n">
        <v>2016</v>
      </c>
      <c r="C287" s="194" t="n">
        <f aca="false">SUM(C291+C295+C303+C307+C311+C315+C319)</f>
        <v>903</v>
      </c>
      <c r="D287" s="194" t="n">
        <f aca="false">SUM(D291+D295+D303+D307+D311+D315+D319)</f>
        <v>886</v>
      </c>
      <c r="E287" s="194" t="n">
        <f aca="false">SUM(E291+E295+E303+E307+E311+E315+E319)</f>
        <v>852</v>
      </c>
      <c r="F287" s="194" t="n">
        <f aca="false">SUM(F291+F295+F303+F307+F311+F315+F319)</f>
        <v>700</v>
      </c>
      <c r="G287" s="194" t="n">
        <f aca="false">SUM(G291+G295+G303+G307+G311+G315+G319)</f>
        <v>863</v>
      </c>
      <c r="H287" s="194" t="n">
        <f aca="false">SUM(H291+H295+H303+H307+H311+H315+H319)</f>
        <v>753</v>
      </c>
      <c r="I287" s="194" t="n">
        <f aca="false">SUM(I291+I295+I303+I307+I311+I315+I319)</f>
        <v>703</v>
      </c>
      <c r="J287" s="194" t="n">
        <f aca="false">SUM(J291+J295+J303+J307+J311+J315+J319)</f>
        <v>831</v>
      </c>
      <c r="K287" s="194" t="n">
        <f aca="false">SUM(K291+K295+K303+K307+K311+K315+K319)</f>
        <v>774</v>
      </c>
      <c r="L287" s="194" t="n">
        <f aca="false">SUM(L291+L295+L303+L307+L311+L315+L319)</f>
        <v>816</v>
      </c>
      <c r="M287" s="194"/>
      <c r="N287" s="194"/>
      <c r="O287" s="194" t="n">
        <f aca="false">SUM(O291+O295+O303+O307+O311+O315+O319)</f>
        <v>8081</v>
      </c>
    </row>
    <row r="288" customFormat="false" ht="12.75" hidden="false" customHeight="false" outlineLevel="0" collapsed="false">
      <c r="A288" s="195" t="s">
        <v>52</v>
      </c>
      <c r="B288" s="196" t="n">
        <v>2015</v>
      </c>
      <c r="C288" s="196" t="n">
        <f aca="false">SUM(C292+C296+C300+C304+C308+C312+C316+C320)</f>
        <v>965</v>
      </c>
      <c r="D288" s="196" t="n">
        <f aca="false">SUM(D292+D296+D300+D304+D308+D312+D316+D320)</f>
        <v>909</v>
      </c>
      <c r="E288" s="196" t="n">
        <f aca="false">SUM(E292+E296+E300+E304+E308+E312+E316+E320)</f>
        <v>936</v>
      </c>
      <c r="F288" s="196" t="n">
        <f aca="false">SUM(F292+F296+F300+F304+F308+F312+F316+F320)</f>
        <v>806</v>
      </c>
      <c r="G288" s="196" t="n">
        <f aca="false">SUM(G292+G296+G300+G304+G308+G312+G316+G320)</f>
        <v>882</v>
      </c>
      <c r="H288" s="196" t="n">
        <f aca="false">SUM(H292+H296+H300+H304+H308+H312+H316+H320)</f>
        <v>891</v>
      </c>
      <c r="I288" s="196" t="n">
        <f aca="false">SUM(I292+I296+I300+I304+I308+I312+I316+I320)</f>
        <v>944</v>
      </c>
      <c r="J288" s="196" t="n">
        <f aca="false">SUM(J292+J296+J300+J304+J308+J312+J316+J320)</f>
        <v>883</v>
      </c>
      <c r="K288" s="196" t="n">
        <f aca="false">SUM(K292+K296+K300+K304+K308+K312+K316+K320)</f>
        <v>856</v>
      </c>
      <c r="L288" s="196" t="n">
        <f aca="false">SUM(L292+L296+L300+L304+L308+L312+L316+L320)</f>
        <v>903</v>
      </c>
      <c r="M288" s="196"/>
      <c r="N288" s="196"/>
      <c r="O288" s="196" t="n">
        <f aca="false">SUM(C288:N288)</f>
        <v>8975</v>
      </c>
    </row>
    <row r="289" customFormat="false" ht="12.75" hidden="false" customHeight="false" outlineLevel="0" collapsed="false">
      <c r="A289" s="195" t="s">
        <v>209</v>
      </c>
      <c r="B289" s="197" t="s">
        <v>210</v>
      </c>
      <c r="C289" s="196" t="n">
        <f aca="false">C287-C288</f>
        <v>-62</v>
      </c>
      <c r="D289" s="196" t="n">
        <f aca="false">D287-D288</f>
        <v>-23</v>
      </c>
      <c r="E289" s="196" t="n">
        <f aca="false">E287-E288</f>
        <v>-84</v>
      </c>
      <c r="F289" s="196" t="n">
        <f aca="false">F287-F288</f>
        <v>-106</v>
      </c>
      <c r="G289" s="196" t="n">
        <f aca="false">G287-G288</f>
        <v>-19</v>
      </c>
      <c r="H289" s="196" t="n">
        <f aca="false">H287-H288</f>
        <v>-138</v>
      </c>
      <c r="I289" s="196" t="n">
        <f aca="false">I287-I288</f>
        <v>-241</v>
      </c>
      <c r="J289" s="196" t="n">
        <f aca="false">J287-J288</f>
        <v>-52</v>
      </c>
      <c r="K289" s="196" t="n">
        <f aca="false">K287-K288</f>
        <v>-82</v>
      </c>
      <c r="L289" s="196" t="n">
        <f aca="false">L287-L288</f>
        <v>-87</v>
      </c>
      <c r="M289" s="196"/>
      <c r="N289" s="196"/>
      <c r="O289" s="196" t="n">
        <f aca="false">O287-O288</f>
        <v>-894</v>
      </c>
    </row>
    <row r="290" customFormat="false" ht="13.5" hidden="false" customHeight="false" outlineLevel="0" collapsed="false">
      <c r="A290" s="199"/>
      <c r="B290" s="200" t="s">
        <v>9</v>
      </c>
      <c r="C290" s="201" t="n">
        <f aca="false">C289/C288</f>
        <v>-0.0642487046632124</v>
      </c>
      <c r="D290" s="201" t="n">
        <f aca="false">D289/D288</f>
        <v>-0.0253025302530253</v>
      </c>
      <c r="E290" s="201" t="n">
        <f aca="false">E289/E288</f>
        <v>-0.0897435897435897</v>
      </c>
      <c r="F290" s="201" t="n">
        <f aca="false">F289/F288</f>
        <v>-0.13151364764268</v>
      </c>
      <c r="G290" s="201" t="n">
        <f aca="false">G289/G288</f>
        <v>-0.0215419501133787</v>
      </c>
      <c r="H290" s="201" t="n">
        <f aca="false">H289/H288</f>
        <v>-0.154882154882155</v>
      </c>
      <c r="I290" s="201" t="n">
        <f aca="false">I289/I288</f>
        <v>-0.255296610169492</v>
      </c>
      <c r="J290" s="201" t="n">
        <f aca="false">J289/J288</f>
        <v>-0.0588901472253681</v>
      </c>
      <c r="K290" s="201" t="n">
        <f aca="false">K289/K288</f>
        <v>-0.0957943925233645</v>
      </c>
      <c r="L290" s="201" t="n">
        <f aca="false">L289/L288</f>
        <v>-0.0963455149501661</v>
      </c>
      <c r="M290" s="201"/>
      <c r="N290" s="201"/>
      <c r="O290" s="201" t="n">
        <f aca="false">O289/O288</f>
        <v>-0.0996100278551532</v>
      </c>
    </row>
    <row r="291" customFormat="false" ht="12.75" hidden="false" customHeight="false" outlineLevel="0" collapsed="false">
      <c r="A291" s="198"/>
      <c r="B291" s="194" t="n">
        <v>2016</v>
      </c>
      <c r="C291" s="194" t="n">
        <v>4</v>
      </c>
      <c r="D291" s="194" t="n">
        <v>11</v>
      </c>
      <c r="E291" s="194" t="n">
        <v>11</v>
      </c>
      <c r="F291" s="194" t="n">
        <v>6</v>
      </c>
      <c r="G291" s="194" t="n">
        <v>11</v>
      </c>
      <c r="H291" s="194" t="n">
        <v>6</v>
      </c>
      <c r="I291" s="194" t="n">
        <v>12</v>
      </c>
      <c r="J291" s="194" t="n">
        <v>8</v>
      </c>
      <c r="K291" s="194" t="n">
        <v>5</v>
      </c>
      <c r="L291" s="194" t="n">
        <v>8</v>
      </c>
      <c r="M291" s="194"/>
      <c r="N291" s="194"/>
      <c r="O291" s="194" t="n">
        <f aca="false">SUM(C291:N291)</f>
        <v>82</v>
      </c>
    </row>
    <row r="292" customFormat="false" ht="12.75" hidden="false" customHeight="false" outlineLevel="0" collapsed="false">
      <c r="A292" s="195" t="s">
        <v>211</v>
      </c>
      <c r="B292" s="196" t="n">
        <v>2015</v>
      </c>
      <c r="C292" s="196" t="n">
        <v>14</v>
      </c>
      <c r="D292" s="196" t="n">
        <v>11</v>
      </c>
      <c r="E292" s="196" t="n">
        <v>10</v>
      </c>
      <c r="F292" s="196" t="n">
        <v>12</v>
      </c>
      <c r="G292" s="196" t="n">
        <v>9</v>
      </c>
      <c r="H292" s="196" t="n">
        <v>6</v>
      </c>
      <c r="I292" s="196" t="n">
        <v>8</v>
      </c>
      <c r="J292" s="196" t="n">
        <v>13</v>
      </c>
      <c r="K292" s="196" t="n">
        <v>9</v>
      </c>
      <c r="L292" s="196" t="n">
        <v>5</v>
      </c>
      <c r="M292" s="196"/>
      <c r="N292" s="196"/>
      <c r="O292" s="196" t="n">
        <f aca="false">SUM(C292:N292)</f>
        <v>97</v>
      </c>
    </row>
    <row r="293" customFormat="false" ht="12.75" hidden="false" customHeight="false" outlineLevel="0" collapsed="false">
      <c r="A293" s="195" t="s">
        <v>212</v>
      </c>
      <c r="B293" s="202" t="s">
        <v>210</v>
      </c>
      <c r="C293" s="196" t="n">
        <f aca="false">C291-C292</f>
        <v>-10</v>
      </c>
      <c r="D293" s="196" t="n">
        <f aca="false">D291-D292</f>
        <v>0</v>
      </c>
      <c r="E293" s="196" t="n">
        <f aca="false">E291-E292</f>
        <v>1</v>
      </c>
      <c r="F293" s="196" t="n">
        <f aca="false">F291-F292</f>
        <v>-6</v>
      </c>
      <c r="G293" s="196" t="n">
        <f aca="false">G291-G292</f>
        <v>2</v>
      </c>
      <c r="H293" s="196" t="n">
        <f aca="false">H291-H292</f>
        <v>0</v>
      </c>
      <c r="I293" s="196" t="n">
        <f aca="false">I291-I292</f>
        <v>4</v>
      </c>
      <c r="J293" s="196" t="n">
        <f aca="false">J291-J292</f>
        <v>-5</v>
      </c>
      <c r="K293" s="196" t="n">
        <f aca="false">K291-K292</f>
        <v>-4</v>
      </c>
      <c r="L293" s="196" t="n">
        <f aca="false">L291-L292</f>
        <v>3</v>
      </c>
      <c r="M293" s="196"/>
      <c r="N293" s="196"/>
      <c r="O293" s="196" t="n">
        <f aca="false">O291-O292</f>
        <v>-15</v>
      </c>
    </row>
    <row r="294" customFormat="false" ht="13.5" hidden="false" customHeight="false" outlineLevel="0" collapsed="false">
      <c r="A294" s="199"/>
      <c r="B294" s="200" t="s">
        <v>9</v>
      </c>
      <c r="C294" s="201" t="n">
        <f aca="false">C293/C292</f>
        <v>-0.714285714285714</v>
      </c>
      <c r="D294" s="201" t="n">
        <f aca="false">D293/D292</f>
        <v>0</v>
      </c>
      <c r="E294" s="201" t="n">
        <f aca="false">E293/E292</f>
        <v>0.1</v>
      </c>
      <c r="F294" s="201" t="n">
        <f aca="false">F293/F292</f>
        <v>-0.5</v>
      </c>
      <c r="G294" s="201" t="n">
        <f aca="false">G293/G292</f>
        <v>0.222222222222222</v>
      </c>
      <c r="H294" s="201" t="n">
        <f aca="false">H293/H292</f>
        <v>0</v>
      </c>
      <c r="I294" s="201" t="n">
        <f aca="false">I293/I292</f>
        <v>0.5</v>
      </c>
      <c r="J294" s="201" t="n">
        <f aca="false">J293/J292</f>
        <v>-0.384615384615385</v>
      </c>
      <c r="K294" s="201" t="n">
        <f aca="false">K293/K292</f>
        <v>-0.444444444444444</v>
      </c>
      <c r="L294" s="201" t="n">
        <f aca="false">L293/L292</f>
        <v>0.6</v>
      </c>
      <c r="M294" s="201"/>
      <c r="N294" s="201"/>
      <c r="O294" s="201" t="n">
        <f aca="false">O293/O292</f>
        <v>-0.154639175257732</v>
      </c>
    </row>
    <row r="295" customFormat="false" ht="12.75" hidden="false" customHeight="false" outlineLevel="0" collapsed="false">
      <c r="A295" s="198"/>
      <c r="B295" s="194" t="n">
        <v>2016</v>
      </c>
      <c r="C295" s="204" t="n">
        <v>2</v>
      </c>
      <c r="D295" s="204" t="n">
        <v>2</v>
      </c>
      <c r="E295" s="204" t="n">
        <v>1</v>
      </c>
      <c r="F295" s="204" t="n">
        <v>6</v>
      </c>
      <c r="G295" s="204" t="n">
        <v>5</v>
      </c>
      <c r="H295" s="204" t="n">
        <v>5</v>
      </c>
      <c r="I295" s="204" t="n">
        <v>3</v>
      </c>
      <c r="J295" s="204" t="n">
        <v>1</v>
      </c>
      <c r="K295" s="204" t="n">
        <v>5</v>
      </c>
      <c r="L295" s="204" t="n">
        <v>3</v>
      </c>
      <c r="M295" s="204"/>
      <c r="N295" s="204"/>
      <c r="O295" s="194" t="n">
        <f aca="false">SUM(C295:N295)</f>
        <v>33</v>
      </c>
    </row>
    <row r="296" customFormat="false" ht="12.75" hidden="false" customHeight="false" outlineLevel="0" collapsed="false">
      <c r="A296" s="203" t="s">
        <v>213</v>
      </c>
      <c r="B296" s="196" t="n">
        <v>2015</v>
      </c>
      <c r="C296" s="196" t="n">
        <v>5</v>
      </c>
      <c r="D296" s="196" t="n">
        <v>6</v>
      </c>
      <c r="E296" s="196" t="n">
        <v>6</v>
      </c>
      <c r="F296" s="196" t="n">
        <v>2</v>
      </c>
      <c r="G296" s="196" t="n">
        <v>2</v>
      </c>
      <c r="H296" s="196" t="n">
        <v>2</v>
      </c>
      <c r="I296" s="196" t="n">
        <v>0</v>
      </c>
      <c r="J296" s="196" t="n">
        <v>6</v>
      </c>
      <c r="K296" s="196" t="n">
        <v>8</v>
      </c>
      <c r="L296" s="196" t="n">
        <v>1</v>
      </c>
      <c r="M296" s="196"/>
      <c r="N296" s="196"/>
      <c r="O296" s="196" t="n">
        <f aca="false">SUM(C296:N296)</f>
        <v>38</v>
      </c>
    </row>
    <row r="297" customFormat="false" ht="12.75" hidden="false" customHeight="false" outlineLevel="0" collapsed="false">
      <c r="A297" s="195" t="s">
        <v>214</v>
      </c>
      <c r="B297" s="202" t="s">
        <v>210</v>
      </c>
      <c r="C297" s="196" t="n">
        <f aca="false">C295-C296</f>
        <v>-3</v>
      </c>
      <c r="D297" s="196" t="n">
        <f aca="false">D295-D296</f>
        <v>-4</v>
      </c>
      <c r="E297" s="196" t="n">
        <f aca="false">E295-E296</f>
        <v>-5</v>
      </c>
      <c r="F297" s="196" t="n">
        <f aca="false">F295-F296</f>
        <v>4</v>
      </c>
      <c r="G297" s="196" t="n">
        <f aca="false">G295-G296</f>
        <v>3</v>
      </c>
      <c r="H297" s="196" t="n">
        <f aca="false">H295-H296</f>
        <v>3</v>
      </c>
      <c r="I297" s="196" t="n">
        <f aca="false">I295-I296</f>
        <v>3</v>
      </c>
      <c r="J297" s="196" t="n">
        <f aca="false">J295-J296</f>
        <v>-5</v>
      </c>
      <c r="K297" s="196" t="n">
        <f aca="false">K295-K296</f>
        <v>-3</v>
      </c>
      <c r="L297" s="196" t="n">
        <f aca="false">L295-L296</f>
        <v>2</v>
      </c>
      <c r="M297" s="196"/>
      <c r="N297" s="196"/>
      <c r="O297" s="196" t="n">
        <f aca="false">O295-O296</f>
        <v>-5</v>
      </c>
    </row>
    <row r="298" customFormat="false" ht="13.5" hidden="false" customHeight="false" outlineLevel="0" collapsed="false">
      <c r="A298" s="199"/>
      <c r="B298" s="200" t="s">
        <v>9</v>
      </c>
      <c r="C298" s="201" t="n">
        <f aca="false">C297/C296</f>
        <v>-0.6</v>
      </c>
      <c r="D298" s="201" t="n">
        <f aca="false">D297/D296</f>
        <v>-0.666666666666667</v>
      </c>
      <c r="E298" s="201" t="n">
        <f aca="false">E297/E296</f>
        <v>-0.833333333333333</v>
      </c>
      <c r="F298" s="201" t="n">
        <f aca="false">F297/F296</f>
        <v>2</v>
      </c>
      <c r="G298" s="201" t="n">
        <f aca="false">G297/G296</f>
        <v>1.5</v>
      </c>
      <c r="H298" s="201" t="n">
        <f aca="false">H297/H296</f>
        <v>1.5</v>
      </c>
      <c r="I298" s="201" t="n">
        <v>0</v>
      </c>
      <c r="J298" s="201" t="n">
        <f aca="false">J297/J296</f>
        <v>-0.833333333333333</v>
      </c>
      <c r="K298" s="201" t="n">
        <f aca="false">K297/K296</f>
        <v>-0.375</v>
      </c>
      <c r="L298" s="201" t="n">
        <f aca="false">L297/L296</f>
        <v>2</v>
      </c>
      <c r="M298" s="201"/>
      <c r="N298" s="201"/>
      <c r="O298" s="201" t="n">
        <f aca="false">O297/O296</f>
        <v>-0.131578947368421</v>
      </c>
    </row>
    <row r="299" customFormat="false" ht="12.75" hidden="false" customHeight="false" outlineLevel="0" collapsed="false">
      <c r="A299" s="198"/>
      <c r="B299" s="194" t="n">
        <v>2016</v>
      </c>
      <c r="C299" s="204" t="n">
        <v>0</v>
      </c>
      <c r="D299" s="204" t="n">
        <v>0</v>
      </c>
      <c r="E299" s="204" t="n">
        <v>0</v>
      </c>
      <c r="F299" s="204" t="n">
        <v>0</v>
      </c>
      <c r="G299" s="204" t="n">
        <v>0</v>
      </c>
      <c r="H299" s="204" t="n">
        <v>0</v>
      </c>
      <c r="I299" s="204" t="n">
        <v>0</v>
      </c>
      <c r="J299" s="204" t="n">
        <v>0</v>
      </c>
      <c r="K299" s="204" t="n">
        <v>0</v>
      </c>
      <c r="L299" s="204" t="n">
        <v>0</v>
      </c>
      <c r="M299" s="204"/>
      <c r="N299" s="204"/>
      <c r="O299" s="194" t="n">
        <f aca="false">SUM(C299:N299)</f>
        <v>0</v>
      </c>
    </row>
    <row r="300" customFormat="false" ht="12.75" hidden="false" customHeight="false" outlineLevel="0" collapsed="false">
      <c r="A300" s="203" t="s">
        <v>215</v>
      </c>
      <c r="B300" s="196" t="n">
        <v>2015</v>
      </c>
      <c r="C300" s="196" t="n">
        <v>0</v>
      </c>
      <c r="D300" s="196" t="n">
        <v>0</v>
      </c>
      <c r="E300" s="196" t="n">
        <v>0</v>
      </c>
      <c r="F300" s="196" t="n">
        <v>0</v>
      </c>
      <c r="G300" s="196" t="n">
        <v>0</v>
      </c>
      <c r="H300" s="196" t="n">
        <v>0</v>
      </c>
      <c r="I300" s="196" t="n">
        <v>0</v>
      </c>
      <c r="J300" s="196" t="n">
        <v>0</v>
      </c>
      <c r="K300" s="196" t="n">
        <v>0</v>
      </c>
      <c r="L300" s="196" t="n">
        <v>0</v>
      </c>
      <c r="M300" s="196"/>
      <c r="N300" s="196"/>
      <c r="O300" s="196" t="n">
        <f aca="false">SUM(C300:N300)</f>
        <v>0</v>
      </c>
    </row>
    <row r="301" customFormat="false" ht="12.75" hidden="false" customHeight="false" outlineLevel="0" collapsed="false">
      <c r="A301" s="203" t="s">
        <v>216</v>
      </c>
      <c r="B301" s="202" t="s">
        <v>210</v>
      </c>
      <c r="C301" s="196" t="n">
        <f aca="false">C299-C300</f>
        <v>0</v>
      </c>
      <c r="D301" s="196" t="n">
        <f aca="false">D299-D300</f>
        <v>0</v>
      </c>
      <c r="E301" s="196" t="n">
        <f aca="false">E299-E300</f>
        <v>0</v>
      </c>
      <c r="F301" s="196" t="n">
        <f aca="false">F299-F300</f>
        <v>0</v>
      </c>
      <c r="G301" s="196" t="n">
        <f aca="false">G299-G300</f>
        <v>0</v>
      </c>
      <c r="H301" s="196" t="n">
        <f aca="false">H299-H300</f>
        <v>0</v>
      </c>
      <c r="I301" s="196" t="n">
        <f aca="false">I299-I300</f>
        <v>0</v>
      </c>
      <c r="J301" s="196" t="n">
        <f aca="false">J299-J300</f>
        <v>0</v>
      </c>
      <c r="K301" s="196" t="n">
        <f aca="false">K299-K300</f>
        <v>0</v>
      </c>
      <c r="L301" s="196" t="n">
        <f aca="false">L299-L300</f>
        <v>0</v>
      </c>
      <c r="M301" s="196"/>
      <c r="N301" s="196"/>
      <c r="O301" s="196" t="n">
        <f aca="false">O299-O300</f>
        <v>0</v>
      </c>
    </row>
    <row r="302" customFormat="false" ht="13.5" hidden="false" customHeight="false" outlineLevel="0" collapsed="false">
      <c r="A302" s="199"/>
      <c r="B302" s="200" t="s">
        <v>9</v>
      </c>
      <c r="C302" s="201" t="n">
        <v>0</v>
      </c>
      <c r="D302" s="201" t="n">
        <v>0</v>
      </c>
      <c r="E302" s="201" t="n">
        <v>0</v>
      </c>
      <c r="F302" s="201" t="n">
        <v>0</v>
      </c>
      <c r="G302" s="201" t="n">
        <v>0</v>
      </c>
      <c r="H302" s="201" t="n">
        <v>0</v>
      </c>
      <c r="I302" s="201" t="n">
        <v>0</v>
      </c>
      <c r="J302" s="201" t="n">
        <v>0</v>
      </c>
      <c r="K302" s="201" t="n">
        <v>0</v>
      </c>
      <c r="L302" s="201" t="n">
        <v>0</v>
      </c>
      <c r="M302" s="201"/>
      <c r="N302" s="201"/>
      <c r="O302" s="201" t="n">
        <v>0</v>
      </c>
    </row>
    <row r="303" customFormat="false" ht="12.75" hidden="false" customHeight="false" outlineLevel="0" collapsed="false">
      <c r="A303" s="198"/>
      <c r="B303" s="194" t="n">
        <v>2016</v>
      </c>
      <c r="C303" s="204" t="n">
        <v>110</v>
      </c>
      <c r="D303" s="204" t="n">
        <v>78</v>
      </c>
      <c r="E303" s="204" t="n">
        <v>72</v>
      </c>
      <c r="F303" s="204" t="n">
        <v>63</v>
      </c>
      <c r="G303" s="204" t="n">
        <v>70</v>
      </c>
      <c r="H303" s="204" t="n">
        <v>62</v>
      </c>
      <c r="I303" s="204" t="n">
        <v>53</v>
      </c>
      <c r="J303" s="204" t="n">
        <v>50</v>
      </c>
      <c r="K303" s="204" t="n">
        <v>41</v>
      </c>
      <c r="L303" s="204" t="n">
        <v>60</v>
      </c>
      <c r="M303" s="204"/>
      <c r="N303" s="204"/>
      <c r="O303" s="194" t="n">
        <f aca="false">SUM(C303:N303)</f>
        <v>659</v>
      </c>
    </row>
    <row r="304" customFormat="false" ht="12.75" hidden="false" customHeight="false" outlineLevel="0" collapsed="false">
      <c r="A304" s="195" t="s">
        <v>217</v>
      </c>
      <c r="B304" s="196" t="n">
        <v>2015</v>
      </c>
      <c r="C304" s="196" t="n">
        <v>78</v>
      </c>
      <c r="D304" s="196" t="n">
        <v>70</v>
      </c>
      <c r="E304" s="196" t="n">
        <v>96</v>
      </c>
      <c r="F304" s="196" t="n">
        <v>75</v>
      </c>
      <c r="G304" s="196" t="n">
        <v>89</v>
      </c>
      <c r="H304" s="196" t="n">
        <v>86</v>
      </c>
      <c r="I304" s="196" t="n">
        <v>92</v>
      </c>
      <c r="J304" s="196" t="n">
        <v>89</v>
      </c>
      <c r="K304" s="196" t="n">
        <v>69</v>
      </c>
      <c r="L304" s="196" t="n">
        <v>95</v>
      </c>
      <c r="M304" s="196"/>
      <c r="N304" s="196"/>
      <c r="O304" s="196" t="n">
        <f aca="false">SUM(C304:N304)</f>
        <v>839</v>
      </c>
    </row>
    <row r="305" customFormat="false" ht="12.75" hidden="false" customHeight="false" outlineLevel="0" collapsed="false">
      <c r="A305" s="198"/>
      <c r="B305" s="202" t="s">
        <v>210</v>
      </c>
      <c r="C305" s="196" t="n">
        <f aca="false">C303-C304</f>
        <v>32</v>
      </c>
      <c r="D305" s="196" t="n">
        <f aca="false">D303-D304</f>
        <v>8</v>
      </c>
      <c r="E305" s="196" t="n">
        <f aca="false">E303-E304</f>
        <v>-24</v>
      </c>
      <c r="F305" s="196" t="n">
        <f aca="false">F303-F304</f>
        <v>-12</v>
      </c>
      <c r="G305" s="196" t="n">
        <f aca="false">G303-G304</f>
        <v>-19</v>
      </c>
      <c r="H305" s="196" t="n">
        <f aca="false">H303-H304</f>
        <v>-24</v>
      </c>
      <c r="I305" s="196" t="n">
        <f aca="false">I303-I304</f>
        <v>-39</v>
      </c>
      <c r="J305" s="196" t="n">
        <f aca="false">J303-J304</f>
        <v>-39</v>
      </c>
      <c r="K305" s="196" t="n">
        <f aca="false">K303-K304</f>
        <v>-28</v>
      </c>
      <c r="L305" s="196" t="n">
        <f aca="false">L303-L304</f>
        <v>-35</v>
      </c>
      <c r="M305" s="196"/>
      <c r="N305" s="196"/>
      <c r="O305" s="196" t="n">
        <f aca="false">O303-O304</f>
        <v>-180</v>
      </c>
    </row>
    <row r="306" customFormat="false" ht="13.5" hidden="false" customHeight="false" outlineLevel="0" collapsed="false">
      <c r="A306" s="199"/>
      <c r="B306" s="200" t="s">
        <v>9</v>
      </c>
      <c r="C306" s="201" t="n">
        <f aca="false">C305/C304</f>
        <v>0.41025641025641</v>
      </c>
      <c r="D306" s="201" t="n">
        <f aca="false">D305/D304</f>
        <v>0.114285714285714</v>
      </c>
      <c r="E306" s="201" t="n">
        <f aca="false">E305/E304</f>
        <v>-0.25</v>
      </c>
      <c r="F306" s="201" t="n">
        <f aca="false">F305/F304</f>
        <v>-0.16</v>
      </c>
      <c r="G306" s="201" t="n">
        <f aca="false">G305/G304</f>
        <v>-0.213483146067416</v>
      </c>
      <c r="H306" s="201" t="n">
        <f aca="false">H305/H304</f>
        <v>-0.27906976744186</v>
      </c>
      <c r="I306" s="201" t="n">
        <f aca="false">I305/I304</f>
        <v>-0.423913043478261</v>
      </c>
      <c r="J306" s="201" t="n">
        <f aca="false">J305/J304</f>
        <v>-0.438202247191011</v>
      </c>
      <c r="K306" s="201" t="n">
        <f aca="false">K305/K304</f>
        <v>-0.405797101449275</v>
      </c>
      <c r="L306" s="201" t="n">
        <f aca="false">L305/L304</f>
        <v>-0.368421052631579</v>
      </c>
      <c r="M306" s="201"/>
      <c r="N306" s="201"/>
      <c r="O306" s="201" t="n">
        <f aca="false">O305/O304</f>
        <v>-0.214541120381406</v>
      </c>
    </row>
    <row r="307" customFormat="false" ht="12.75" hidden="false" customHeight="false" outlineLevel="0" collapsed="false">
      <c r="A307" s="198"/>
      <c r="B307" s="194" t="n">
        <v>2016</v>
      </c>
      <c r="C307" s="204" t="n">
        <v>28</v>
      </c>
      <c r="D307" s="204" t="n">
        <v>34</v>
      </c>
      <c r="E307" s="204" t="n">
        <v>32</v>
      </c>
      <c r="F307" s="204" t="n">
        <v>28</v>
      </c>
      <c r="G307" s="204" t="n">
        <v>38</v>
      </c>
      <c r="H307" s="204" t="n">
        <v>32</v>
      </c>
      <c r="I307" s="204" t="n">
        <v>35</v>
      </c>
      <c r="J307" s="204" t="n">
        <v>27</v>
      </c>
      <c r="K307" s="204" t="n">
        <v>39</v>
      </c>
      <c r="L307" s="204" t="n">
        <v>48</v>
      </c>
      <c r="M307" s="204"/>
      <c r="N307" s="204"/>
      <c r="O307" s="194" t="n">
        <f aca="false">SUM(C307:N307)</f>
        <v>341</v>
      </c>
    </row>
    <row r="308" customFormat="false" ht="12.75" hidden="false" customHeight="false" outlineLevel="0" collapsed="false">
      <c r="A308" s="195" t="s">
        <v>218</v>
      </c>
      <c r="B308" s="196" t="n">
        <v>2015</v>
      </c>
      <c r="C308" s="196" t="n">
        <v>21</v>
      </c>
      <c r="D308" s="196" t="n">
        <v>23</v>
      </c>
      <c r="E308" s="196" t="n">
        <v>23</v>
      </c>
      <c r="F308" s="196" t="n">
        <v>26</v>
      </c>
      <c r="G308" s="196" t="n">
        <v>35</v>
      </c>
      <c r="H308" s="196" t="n">
        <v>31</v>
      </c>
      <c r="I308" s="196" t="n">
        <v>21</v>
      </c>
      <c r="J308" s="196" t="n">
        <v>24</v>
      </c>
      <c r="K308" s="196" t="n">
        <v>17</v>
      </c>
      <c r="L308" s="196" t="n">
        <v>29</v>
      </c>
      <c r="M308" s="196"/>
      <c r="N308" s="196"/>
      <c r="O308" s="196" t="n">
        <f aca="false">SUM(C308:N308)</f>
        <v>250</v>
      </c>
    </row>
    <row r="309" customFormat="false" ht="12.75" hidden="false" customHeight="false" outlineLevel="0" collapsed="false">
      <c r="A309" s="195" t="s">
        <v>219</v>
      </c>
      <c r="B309" s="202" t="s">
        <v>210</v>
      </c>
      <c r="C309" s="196" t="n">
        <f aca="false">C307-C308</f>
        <v>7</v>
      </c>
      <c r="D309" s="196" t="n">
        <f aca="false">D307-D308</f>
        <v>11</v>
      </c>
      <c r="E309" s="196" t="n">
        <f aca="false">E307-E308</f>
        <v>9</v>
      </c>
      <c r="F309" s="196" t="n">
        <f aca="false">F307-F308</f>
        <v>2</v>
      </c>
      <c r="G309" s="196" t="n">
        <f aca="false">G307-G308</f>
        <v>3</v>
      </c>
      <c r="H309" s="196" t="n">
        <f aca="false">H307-H308</f>
        <v>1</v>
      </c>
      <c r="I309" s="196" t="n">
        <f aca="false">I307-I308</f>
        <v>14</v>
      </c>
      <c r="J309" s="196" t="n">
        <f aca="false">J307-J308</f>
        <v>3</v>
      </c>
      <c r="K309" s="196" t="n">
        <f aca="false">K307-K308</f>
        <v>22</v>
      </c>
      <c r="L309" s="196" t="n">
        <f aca="false">L307-L308</f>
        <v>19</v>
      </c>
      <c r="M309" s="196"/>
      <c r="N309" s="196"/>
      <c r="O309" s="196" t="n">
        <f aca="false">O307-O308</f>
        <v>91</v>
      </c>
    </row>
    <row r="310" customFormat="false" ht="13.5" hidden="false" customHeight="false" outlineLevel="0" collapsed="false">
      <c r="A310" s="199" t="s">
        <v>2</v>
      </c>
      <c r="B310" s="200" t="s">
        <v>9</v>
      </c>
      <c r="C310" s="201" t="n">
        <f aca="false">C309/C308</f>
        <v>0.333333333333333</v>
      </c>
      <c r="D310" s="201" t="n">
        <f aca="false">D309/D308</f>
        <v>0.478260869565217</v>
      </c>
      <c r="E310" s="201" t="n">
        <f aca="false">E309/E308</f>
        <v>0.391304347826087</v>
      </c>
      <c r="F310" s="201" t="n">
        <f aca="false">F309/F308</f>
        <v>0.0769230769230769</v>
      </c>
      <c r="G310" s="201" t="n">
        <f aca="false">G309/G308</f>
        <v>0.0857142857142857</v>
      </c>
      <c r="H310" s="201" t="n">
        <f aca="false">H309/H308</f>
        <v>0.032258064516129</v>
      </c>
      <c r="I310" s="201" t="n">
        <f aca="false">I309/I308</f>
        <v>0.666666666666667</v>
      </c>
      <c r="J310" s="201" t="n">
        <f aca="false">J309/J308</f>
        <v>0.125</v>
      </c>
      <c r="K310" s="201" t="n">
        <f aca="false">K309/K308</f>
        <v>1.29411764705882</v>
      </c>
      <c r="L310" s="201" t="n">
        <f aca="false">L309/L308</f>
        <v>0.655172413793103</v>
      </c>
      <c r="M310" s="201"/>
      <c r="N310" s="201"/>
      <c r="O310" s="201" t="n">
        <f aca="false">O309/O308</f>
        <v>0.364</v>
      </c>
    </row>
    <row r="311" customFormat="false" ht="12.75" hidden="false" customHeight="false" outlineLevel="0" collapsed="false">
      <c r="A311" s="198"/>
      <c r="B311" s="194" t="n">
        <v>2016</v>
      </c>
      <c r="C311" s="204" t="n">
        <v>148</v>
      </c>
      <c r="D311" s="204" t="n">
        <v>161</v>
      </c>
      <c r="E311" s="204" t="n">
        <v>106</v>
      </c>
      <c r="F311" s="204" t="n">
        <v>132</v>
      </c>
      <c r="G311" s="204" t="n">
        <v>139</v>
      </c>
      <c r="H311" s="204" t="n">
        <v>137</v>
      </c>
      <c r="I311" s="204" t="n">
        <v>117</v>
      </c>
      <c r="J311" s="204" t="n">
        <v>135</v>
      </c>
      <c r="K311" s="204" t="n">
        <v>128</v>
      </c>
      <c r="L311" s="204" t="n">
        <v>164</v>
      </c>
      <c r="M311" s="204"/>
      <c r="N311" s="204"/>
      <c r="O311" s="194" t="n">
        <f aca="false">SUM(C311:N311)</f>
        <v>1367</v>
      </c>
      <c r="P311" s="209"/>
    </row>
    <row r="312" customFormat="false" ht="12.75" hidden="false" customHeight="false" outlineLevel="0" collapsed="false">
      <c r="A312" s="195" t="s">
        <v>220</v>
      </c>
      <c r="B312" s="196" t="n">
        <v>2015</v>
      </c>
      <c r="C312" s="196" t="n">
        <v>159</v>
      </c>
      <c r="D312" s="196" t="n">
        <v>138</v>
      </c>
      <c r="E312" s="196" t="n">
        <v>163</v>
      </c>
      <c r="F312" s="196" t="n">
        <v>145</v>
      </c>
      <c r="G312" s="196" t="n">
        <v>128</v>
      </c>
      <c r="H312" s="196" t="n">
        <v>136</v>
      </c>
      <c r="I312" s="196" t="n">
        <v>164</v>
      </c>
      <c r="J312" s="196" t="n">
        <v>137</v>
      </c>
      <c r="K312" s="196" t="n">
        <v>141</v>
      </c>
      <c r="L312" s="196" t="n">
        <v>152</v>
      </c>
      <c r="M312" s="196"/>
      <c r="N312" s="196"/>
      <c r="O312" s="196" t="n">
        <f aca="false">SUM(C312:N312)</f>
        <v>1463</v>
      </c>
    </row>
    <row r="313" customFormat="false" ht="12.75" hidden="false" customHeight="false" outlineLevel="0" collapsed="false">
      <c r="A313" s="198"/>
      <c r="B313" s="202" t="s">
        <v>210</v>
      </c>
      <c r="C313" s="196" t="n">
        <f aca="false">C311-C312</f>
        <v>-11</v>
      </c>
      <c r="D313" s="196" t="n">
        <f aca="false">D311-D312</f>
        <v>23</v>
      </c>
      <c r="E313" s="196" t="n">
        <f aca="false">E311-E312</f>
        <v>-57</v>
      </c>
      <c r="F313" s="196" t="n">
        <f aca="false">F311-F312</f>
        <v>-13</v>
      </c>
      <c r="G313" s="196" t="n">
        <f aca="false">G311-G312</f>
        <v>11</v>
      </c>
      <c r="H313" s="196" t="n">
        <f aca="false">H311-H312</f>
        <v>1</v>
      </c>
      <c r="I313" s="196" t="n">
        <f aca="false">I311-I312</f>
        <v>-47</v>
      </c>
      <c r="J313" s="196" t="n">
        <f aca="false">J311-J312</f>
        <v>-2</v>
      </c>
      <c r="K313" s="196" t="n">
        <f aca="false">K311-K312</f>
        <v>-13</v>
      </c>
      <c r="L313" s="196" t="n">
        <f aca="false">L311-L312</f>
        <v>12</v>
      </c>
      <c r="M313" s="196"/>
      <c r="N313" s="196"/>
      <c r="O313" s="196" t="n">
        <f aca="false">O311-O312</f>
        <v>-96</v>
      </c>
    </row>
    <row r="314" customFormat="false" ht="13.5" hidden="false" customHeight="false" outlineLevel="0" collapsed="false">
      <c r="A314" s="199"/>
      <c r="B314" s="200" t="s">
        <v>9</v>
      </c>
      <c r="C314" s="201" t="n">
        <f aca="false">C313/C312</f>
        <v>-0.0691823899371069</v>
      </c>
      <c r="D314" s="201" t="n">
        <f aca="false">D313/D312</f>
        <v>0.166666666666667</v>
      </c>
      <c r="E314" s="201" t="n">
        <f aca="false">E313/E312</f>
        <v>-0.349693251533742</v>
      </c>
      <c r="F314" s="201" t="n">
        <f aca="false">F313/F312</f>
        <v>-0.0896551724137931</v>
      </c>
      <c r="G314" s="201" t="n">
        <f aca="false">G313/G312</f>
        <v>0.0859375</v>
      </c>
      <c r="H314" s="201" t="n">
        <f aca="false">H313/H312</f>
        <v>0.00735294117647059</v>
      </c>
      <c r="I314" s="201" t="n">
        <f aca="false">I313/I312</f>
        <v>-0.286585365853659</v>
      </c>
      <c r="J314" s="201" t="n">
        <f aca="false">J313/J312</f>
        <v>-0.0145985401459854</v>
      </c>
      <c r="K314" s="201" t="n">
        <f aca="false">K313/K312</f>
        <v>-0.0921985815602837</v>
      </c>
      <c r="L314" s="201" t="n">
        <f aca="false">L313/L312</f>
        <v>0.0789473684210526</v>
      </c>
      <c r="M314" s="201"/>
      <c r="N314" s="201"/>
      <c r="O314" s="201" t="n">
        <f aca="false">O313/O312</f>
        <v>-0.0656185919343814</v>
      </c>
    </row>
    <row r="315" customFormat="false" ht="12.75" hidden="false" customHeight="false" outlineLevel="0" collapsed="false">
      <c r="A315" s="198"/>
      <c r="B315" s="194" t="n">
        <v>2016</v>
      </c>
      <c r="C315" s="204" t="n">
        <v>482</v>
      </c>
      <c r="D315" s="204" t="n">
        <v>477</v>
      </c>
      <c r="E315" s="204" t="n">
        <v>516</v>
      </c>
      <c r="F315" s="204" t="n">
        <v>357</v>
      </c>
      <c r="G315" s="204" t="n">
        <v>495</v>
      </c>
      <c r="H315" s="204" t="n">
        <v>401</v>
      </c>
      <c r="I315" s="204" t="n">
        <v>371</v>
      </c>
      <c r="J315" s="204" t="n">
        <v>489</v>
      </c>
      <c r="K315" s="204" t="n">
        <v>433</v>
      </c>
      <c r="L315" s="204" t="n">
        <v>424</v>
      </c>
      <c r="M315" s="204"/>
      <c r="N315" s="204"/>
      <c r="O315" s="194" t="n">
        <f aca="false">SUM(C315:N315)</f>
        <v>4445</v>
      </c>
      <c r="P315" s="209"/>
    </row>
    <row r="316" customFormat="false" ht="12.75" hidden="false" customHeight="false" outlineLevel="0" collapsed="false">
      <c r="A316" s="195" t="s">
        <v>221</v>
      </c>
      <c r="B316" s="196" t="n">
        <v>2015</v>
      </c>
      <c r="C316" s="196" t="n">
        <v>543</v>
      </c>
      <c r="D316" s="196" t="n">
        <v>527</v>
      </c>
      <c r="E316" s="196" t="n">
        <v>521</v>
      </c>
      <c r="F316" s="196" t="n">
        <v>418</v>
      </c>
      <c r="G316" s="196" t="n">
        <v>501</v>
      </c>
      <c r="H316" s="196" t="n">
        <v>503</v>
      </c>
      <c r="I316" s="196" t="n">
        <v>521</v>
      </c>
      <c r="J316" s="221" t="n">
        <v>480</v>
      </c>
      <c r="K316" s="196" t="n">
        <v>486</v>
      </c>
      <c r="L316" s="196" t="n">
        <v>529</v>
      </c>
      <c r="M316" s="196"/>
      <c r="N316" s="196"/>
      <c r="O316" s="196" t="n">
        <f aca="false">SUM(C316:N316)</f>
        <v>5029</v>
      </c>
    </row>
    <row r="317" customFormat="false" ht="12.75" hidden="false" customHeight="false" outlineLevel="0" collapsed="false">
      <c r="A317" s="195" t="s">
        <v>222</v>
      </c>
      <c r="B317" s="202" t="s">
        <v>210</v>
      </c>
      <c r="C317" s="196" t="n">
        <f aca="false">C315-C316</f>
        <v>-61</v>
      </c>
      <c r="D317" s="196" t="n">
        <f aca="false">D315-D316</f>
        <v>-50</v>
      </c>
      <c r="E317" s="196" t="n">
        <f aca="false">E315-E316</f>
        <v>-5</v>
      </c>
      <c r="F317" s="196" t="n">
        <f aca="false">F315-F316</f>
        <v>-61</v>
      </c>
      <c r="G317" s="196" t="n">
        <f aca="false">G315-G316</f>
        <v>-6</v>
      </c>
      <c r="H317" s="196" t="n">
        <f aca="false">H315-H316</f>
        <v>-102</v>
      </c>
      <c r="I317" s="196" t="n">
        <f aca="false">I315-I316</f>
        <v>-150</v>
      </c>
      <c r="J317" s="196" t="n">
        <f aca="false">J315-J316</f>
        <v>9</v>
      </c>
      <c r="K317" s="196" t="n">
        <f aca="false">K315-K316</f>
        <v>-53</v>
      </c>
      <c r="L317" s="196" t="n">
        <f aca="false">L315-L316</f>
        <v>-105</v>
      </c>
      <c r="M317" s="196"/>
      <c r="N317" s="196"/>
      <c r="O317" s="196" t="n">
        <f aca="false">O315-O316</f>
        <v>-584</v>
      </c>
    </row>
    <row r="318" customFormat="false" ht="13.5" hidden="false" customHeight="false" outlineLevel="0" collapsed="false">
      <c r="A318" s="199"/>
      <c r="B318" s="200" t="s">
        <v>9</v>
      </c>
      <c r="C318" s="201" t="n">
        <f aca="false">C317/C316</f>
        <v>-0.112338858195212</v>
      </c>
      <c r="D318" s="201" t="n">
        <f aca="false">D317/D316</f>
        <v>-0.094876660341556</v>
      </c>
      <c r="E318" s="201" t="n">
        <f aca="false">E317/E316</f>
        <v>-0.00959692898272553</v>
      </c>
      <c r="F318" s="201" t="n">
        <f aca="false">F317/F316</f>
        <v>-0.145933014354067</v>
      </c>
      <c r="G318" s="201" t="n">
        <f aca="false">G317/G316</f>
        <v>-0.0119760479041916</v>
      </c>
      <c r="H318" s="201" t="n">
        <f aca="false">H317/H316</f>
        <v>-0.202783300198807</v>
      </c>
      <c r="I318" s="201" t="n">
        <f aca="false">I317/I316</f>
        <v>-0.287907869481766</v>
      </c>
      <c r="J318" s="201" t="n">
        <f aca="false">J317/J316</f>
        <v>0.01875</v>
      </c>
      <c r="K318" s="201" t="n">
        <f aca="false">K317/K316</f>
        <v>-0.109053497942387</v>
      </c>
      <c r="L318" s="201" t="n">
        <f aca="false">L317/L316</f>
        <v>-0.198487712665406</v>
      </c>
      <c r="M318" s="201"/>
      <c r="N318" s="201"/>
      <c r="O318" s="201" t="n">
        <f aca="false">O317/O316</f>
        <v>-0.116126466494333</v>
      </c>
    </row>
    <row r="319" customFormat="false" ht="12.75" hidden="false" customHeight="false" outlineLevel="0" collapsed="false">
      <c r="A319" s="198"/>
      <c r="B319" s="194" t="n">
        <v>2016</v>
      </c>
      <c r="C319" s="204" t="n">
        <v>129</v>
      </c>
      <c r="D319" s="204" t="n">
        <v>123</v>
      </c>
      <c r="E319" s="204" t="n">
        <v>114</v>
      </c>
      <c r="F319" s="204" t="n">
        <v>108</v>
      </c>
      <c r="G319" s="204" t="n">
        <v>105</v>
      </c>
      <c r="H319" s="204" t="n">
        <v>110</v>
      </c>
      <c r="I319" s="204" t="n">
        <v>112</v>
      </c>
      <c r="J319" s="204" t="n">
        <v>121</v>
      </c>
      <c r="K319" s="204" t="n">
        <v>123</v>
      </c>
      <c r="L319" s="204" t="n">
        <v>109</v>
      </c>
      <c r="M319" s="204"/>
      <c r="N319" s="204"/>
      <c r="O319" s="194" t="n">
        <f aca="false">SUM(C319:N319)</f>
        <v>1154</v>
      </c>
    </row>
    <row r="320" customFormat="false" ht="12.75" hidden="false" customHeight="false" outlineLevel="0" collapsed="false">
      <c r="A320" s="195" t="s">
        <v>223</v>
      </c>
      <c r="B320" s="196" t="n">
        <v>2015</v>
      </c>
      <c r="C320" s="196" t="n">
        <v>145</v>
      </c>
      <c r="D320" s="196" t="n">
        <v>134</v>
      </c>
      <c r="E320" s="196" t="n">
        <v>117</v>
      </c>
      <c r="F320" s="196" t="n">
        <v>128</v>
      </c>
      <c r="G320" s="196" t="n">
        <v>118</v>
      </c>
      <c r="H320" s="196" t="n">
        <v>127</v>
      </c>
      <c r="I320" s="196" t="n">
        <v>138</v>
      </c>
      <c r="J320" s="196" t="n">
        <v>134</v>
      </c>
      <c r="K320" s="196" t="n">
        <v>126</v>
      </c>
      <c r="L320" s="196" t="n">
        <v>92</v>
      </c>
      <c r="M320" s="196"/>
      <c r="N320" s="196"/>
      <c r="O320" s="196" t="n">
        <f aca="false">SUM(C320:N320)</f>
        <v>1259</v>
      </c>
    </row>
    <row r="321" customFormat="false" ht="12.75" hidden="false" customHeight="false" outlineLevel="0" collapsed="false">
      <c r="A321" s="195" t="s">
        <v>224</v>
      </c>
      <c r="B321" s="202" t="s">
        <v>210</v>
      </c>
      <c r="C321" s="196" t="n">
        <f aca="false">C319-C320</f>
        <v>-16</v>
      </c>
      <c r="D321" s="196" t="n">
        <f aca="false">D319-D320</f>
        <v>-11</v>
      </c>
      <c r="E321" s="196" t="n">
        <f aca="false">E319-E320</f>
        <v>-3</v>
      </c>
      <c r="F321" s="196" t="n">
        <f aca="false">F319-F320</f>
        <v>-20</v>
      </c>
      <c r="G321" s="196" t="n">
        <f aca="false">G319-G320</f>
        <v>-13</v>
      </c>
      <c r="H321" s="196" t="n">
        <f aca="false">H319-H320</f>
        <v>-17</v>
      </c>
      <c r="I321" s="196" t="n">
        <f aca="false">I319-I320</f>
        <v>-26</v>
      </c>
      <c r="J321" s="196" t="n">
        <f aca="false">J319-J320</f>
        <v>-13</v>
      </c>
      <c r="K321" s="196" t="n">
        <f aca="false">K319-K320</f>
        <v>-3</v>
      </c>
      <c r="L321" s="196" t="n">
        <f aca="false">L319-L320</f>
        <v>17</v>
      </c>
      <c r="M321" s="196"/>
      <c r="N321" s="196"/>
      <c r="O321" s="196" t="n">
        <f aca="false">O319-O320</f>
        <v>-105</v>
      </c>
    </row>
    <row r="322" customFormat="false" ht="13.5" hidden="false" customHeight="false" outlineLevel="0" collapsed="false">
      <c r="A322" s="199"/>
      <c r="B322" s="200" t="s">
        <v>9</v>
      </c>
      <c r="C322" s="201" t="n">
        <f aca="false">C321/C320</f>
        <v>-0.110344827586207</v>
      </c>
      <c r="D322" s="201" t="n">
        <f aca="false">D321/D320</f>
        <v>-0.082089552238806</v>
      </c>
      <c r="E322" s="201" t="n">
        <f aca="false">E321/E320</f>
        <v>-0.0256410256410256</v>
      </c>
      <c r="F322" s="201" t="n">
        <f aca="false">F321/F320</f>
        <v>-0.15625</v>
      </c>
      <c r="G322" s="201" t="n">
        <f aca="false">G321/G320</f>
        <v>-0.110169491525424</v>
      </c>
      <c r="H322" s="201" t="n">
        <f aca="false">H321/H320</f>
        <v>-0.133858267716535</v>
      </c>
      <c r="I322" s="201" t="n">
        <f aca="false">I321/I320</f>
        <v>-0.188405797101449</v>
      </c>
      <c r="J322" s="201" t="n">
        <f aca="false">J321/J320</f>
        <v>-0.0970149253731343</v>
      </c>
      <c r="K322" s="201" t="n">
        <f aca="false">K321/K320</f>
        <v>-0.0238095238095238</v>
      </c>
      <c r="L322" s="201" t="n">
        <f aca="false">L321/L320</f>
        <v>0.184782608695652</v>
      </c>
      <c r="M322" s="201"/>
      <c r="N322" s="201"/>
      <c r="O322" s="201" t="n">
        <f aca="false">O321/O320</f>
        <v>-0.0833995234312947</v>
      </c>
    </row>
    <row r="325" customFormat="false" ht="13.5" hidden="false" customHeight="false" outlineLevel="0" collapsed="false">
      <c r="A325" s="210" t="s">
        <v>147</v>
      </c>
      <c r="B325" s="209"/>
      <c r="C325" s="209"/>
    </row>
    <row r="326" customFormat="false" ht="13.5" hidden="false" customHeight="false" outlineLevel="0" collapsed="false">
      <c r="A326" s="0" t="s">
        <v>2</v>
      </c>
      <c r="B326" s="192" t="s">
        <v>196</v>
      </c>
      <c r="C326" s="192" t="s">
        <v>197</v>
      </c>
      <c r="D326" s="192" t="s">
        <v>198</v>
      </c>
      <c r="E326" s="192" t="s">
        <v>199</v>
      </c>
      <c r="F326" s="192" t="s">
        <v>200</v>
      </c>
      <c r="G326" s="192" t="s">
        <v>201</v>
      </c>
      <c r="H326" s="192" t="s">
        <v>202</v>
      </c>
      <c r="I326" s="192" t="s">
        <v>203</v>
      </c>
      <c r="J326" s="192" t="s">
        <v>204</v>
      </c>
      <c r="K326" s="192" t="s">
        <v>205</v>
      </c>
      <c r="L326" s="192" t="s">
        <v>206</v>
      </c>
      <c r="M326" s="192" t="s">
        <v>207</v>
      </c>
      <c r="N326" s="192" t="s">
        <v>208</v>
      </c>
      <c r="O326" s="192" t="s">
        <v>52</v>
      </c>
    </row>
    <row r="327" customFormat="false" ht="12.75" hidden="false" customHeight="false" outlineLevel="0" collapsed="false">
      <c r="A327" s="193"/>
      <c r="B327" s="194" t="n">
        <v>2016</v>
      </c>
      <c r="C327" s="194" t="n">
        <f aca="false">SUM(C331+C335+C343+C347+C351+C355+C359)</f>
        <v>337</v>
      </c>
      <c r="D327" s="194" t="n">
        <f aca="false">SUM(D331+D335+D343+D347+D351+D355+D359)</f>
        <v>400</v>
      </c>
      <c r="E327" s="194" t="n">
        <f aca="false">SUM(E331+E335+E343+E347+E351+E355+E359)</f>
        <v>389</v>
      </c>
      <c r="F327" s="194" t="n">
        <f aca="false">SUM(F331+F335+F343+F347+F351+F355+F359)</f>
        <v>304</v>
      </c>
      <c r="G327" s="194" t="n">
        <f aca="false">SUM(G331+G335+G343+G347+G351+G355+G359)</f>
        <v>312</v>
      </c>
      <c r="H327" s="194" t="n">
        <f aca="false">SUM(H331+H335+H343+H347+H351+H355+H359)</f>
        <v>380</v>
      </c>
      <c r="I327" s="194" t="n">
        <f aca="false">SUM(I331+I335+I343+I347+I351+I355+I359)</f>
        <v>360</v>
      </c>
      <c r="J327" s="194" t="n">
        <f aca="false">SUM(J331+J335+J343+J347+J351+J355+J359)</f>
        <v>336</v>
      </c>
      <c r="K327" s="194" t="n">
        <f aca="false">SUM(K331+K335+K343+K347+K351+K355+K359)</f>
        <v>333</v>
      </c>
      <c r="L327" s="194" t="n">
        <f aca="false">SUM(L331+L335+L343+L347+L351+L355+L359)</f>
        <v>301</v>
      </c>
      <c r="M327" s="194"/>
      <c r="N327" s="194"/>
      <c r="O327" s="194" t="n">
        <f aca="false">SUM(O331+O335+O343+O347+O351+O355+O359+O339)</f>
        <v>3452</v>
      </c>
    </row>
    <row r="328" customFormat="false" ht="12.75" hidden="false" customHeight="false" outlineLevel="0" collapsed="false">
      <c r="A328" s="195" t="s">
        <v>52</v>
      </c>
      <c r="B328" s="196" t="n">
        <v>2015</v>
      </c>
      <c r="C328" s="196" t="n">
        <f aca="false">SUM(C332+C336+C340+C344+C348+C352+C356+C360)</f>
        <v>463</v>
      </c>
      <c r="D328" s="196" t="n">
        <f aca="false">SUM(D332+D336+D340+D344+D348+D352+D356+D360)</f>
        <v>372</v>
      </c>
      <c r="E328" s="196" t="n">
        <f aca="false">SUM(E332+E336+E340+E344+E348+E352+E356+E360)</f>
        <v>376</v>
      </c>
      <c r="F328" s="196" t="n">
        <f aca="false">SUM(F332+F336+F340+F344+F348+F352+F356+F360)</f>
        <v>323</v>
      </c>
      <c r="G328" s="196" t="n">
        <f aca="false">SUM(G332+G336+G340+G344+G348+G352+G356+G360)</f>
        <v>369</v>
      </c>
      <c r="H328" s="196" t="n">
        <f aca="false">SUM(H332+H336+H340+H344+H348+H352+H356+H360)</f>
        <v>362</v>
      </c>
      <c r="I328" s="196" t="n">
        <f aca="false">SUM(I332+I336+I340+I344+I348+I352+I356+I360)</f>
        <v>401</v>
      </c>
      <c r="J328" s="196" t="n">
        <f aca="false">SUM(J332+J336+J340+J344+J348+J352+J356+J360)</f>
        <v>324</v>
      </c>
      <c r="K328" s="196" t="n">
        <f aca="false">SUM(K332+K336+K340+K344+K348+K352+K356+K360)</f>
        <v>360</v>
      </c>
      <c r="L328" s="196" t="n">
        <f aca="false">SUM(L332+L336+L340+L344+L348+L352+L356+L360)</f>
        <v>381</v>
      </c>
      <c r="M328" s="196"/>
      <c r="N328" s="196"/>
      <c r="O328" s="196" t="n">
        <f aca="false">SUM(C328:N328)</f>
        <v>3731</v>
      </c>
    </row>
    <row r="329" customFormat="false" ht="12.75" hidden="false" customHeight="false" outlineLevel="0" collapsed="false">
      <c r="A329" s="195" t="s">
        <v>209</v>
      </c>
      <c r="B329" s="197" t="s">
        <v>210</v>
      </c>
      <c r="C329" s="196" t="n">
        <f aca="false">C327-C328</f>
        <v>-126</v>
      </c>
      <c r="D329" s="196" t="n">
        <f aca="false">D327-D328</f>
        <v>28</v>
      </c>
      <c r="E329" s="196" t="n">
        <f aca="false">E327-E328</f>
        <v>13</v>
      </c>
      <c r="F329" s="196" t="n">
        <f aca="false">F327-F328</f>
        <v>-19</v>
      </c>
      <c r="G329" s="196" t="n">
        <f aca="false">G327-G328</f>
        <v>-57</v>
      </c>
      <c r="H329" s="196" t="n">
        <f aca="false">H327-H328</f>
        <v>18</v>
      </c>
      <c r="I329" s="196" t="n">
        <f aca="false">I327-I328</f>
        <v>-41</v>
      </c>
      <c r="J329" s="196" t="n">
        <f aca="false">J327-J328</f>
        <v>12</v>
      </c>
      <c r="K329" s="196" t="n">
        <f aca="false">K327-K328</f>
        <v>-27</v>
      </c>
      <c r="L329" s="196" t="n">
        <f aca="false">L327-L328</f>
        <v>-80</v>
      </c>
      <c r="M329" s="196"/>
      <c r="N329" s="196"/>
      <c r="O329" s="196" t="n">
        <f aca="false">O327-O328</f>
        <v>-279</v>
      </c>
    </row>
    <row r="330" customFormat="false" ht="13.5" hidden="false" customHeight="false" outlineLevel="0" collapsed="false">
      <c r="A330" s="199"/>
      <c r="B330" s="200" t="s">
        <v>9</v>
      </c>
      <c r="C330" s="201" t="n">
        <f aca="false">C329/C328</f>
        <v>-0.272138228941685</v>
      </c>
      <c r="D330" s="201" t="n">
        <f aca="false">D329/D328</f>
        <v>0.0752688172043011</v>
      </c>
      <c r="E330" s="201" t="n">
        <f aca="false">E329/E328</f>
        <v>0.0345744680851064</v>
      </c>
      <c r="F330" s="201" t="n">
        <f aca="false">F329/F328</f>
        <v>-0.0588235294117647</v>
      </c>
      <c r="G330" s="201" t="n">
        <f aca="false">G329/G328</f>
        <v>-0.154471544715447</v>
      </c>
      <c r="H330" s="201" t="n">
        <f aca="false">H329/H328</f>
        <v>0.0497237569060773</v>
      </c>
      <c r="I330" s="201" t="n">
        <f aca="false">I329/I328</f>
        <v>-0.102244389027431</v>
      </c>
      <c r="J330" s="201" t="n">
        <f aca="false">J329/J328</f>
        <v>0.037037037037037</v>
      </c>
      <c r="K330" s="201" t="n">
        <f aca="false">K329/K328</f>
        <v>-0.075</v>
      </c>
      <c r="L330" s="201" t="n">
        <f aca="false">L329/L328</f>
        <v>-0.20997375328084</v>
      </c>
      <c r="M330" s="201"/>
      <c r="N330" s="201"/>
      <c r="O330" s="201" t="n">
        <f aca="false">O329/O328</f>
        <v>-0.0747788796569284</v>
      </c>
    </row>
    <row r="331" customFormat="false" ht="12.75" hidden="false" customHeight="false" outlineLevel="0" collapsed="false">
      <c r="A331" s="198"/>
      <c r="B331" s="194" t="n">
        <v>2016</v>
      </c>
      <c r="C331" s="194" t="n">
        <v>6</v>
      </c>
      <c r="D331" s="194" t="n">
        <v>8</v>
      </c>
      <c r="E331" s="194" t="n">
        <v>12</v>
      </c>
      <c r="F331" s="194" t="n">
        <v>3</v>
      </c>
      <c r="G331" s="194" t="n">
        <v>7</v>
      </c>
      <c r="H331" s="194" t="n">
        <v>5</v>
      </c>
      <c r="I331" s="194" t="n">
        <v>6</v>
      </c>
      <c r="J331" s="194" t="n">
        <v>9</v>
      </c>
      <c r="K331" s="194" t="n">
        <v>12</v>
      </c>
      <c r="L331" s="194" t="n">
        <v>2</v>
      </c>
      <c r="M331" s="194"/>
      <c r="N331" s="194"/>
      <c r="O331" s="194" t="n">
        <f aca="false">SUM(C331:N331)</f>
        <v>70</v>
      </c>
    </row>
    <row r="332" customFormat="false" ht="12.75" hidden="false" customHeight="false" outlineLevel="0" collapsed="false">
      <c r="A332" s="195" t="s">
        <v>211</v>
      </c>
      <c r="B332" s="196" t="n">
        <v>2015</v>
      </c>
      <c r="C332" s="196" t="n">
        <v>6</v>
      </c>
      <c r="D332" s="196" t="n">
        <v>4</v>
      </c>
      <c r="E332" s="196" t="n">
        <v>6</v>
      </c>
      <c r="F332" s="196" t="n">
        <v>5</v>
      </c>
      <c r="G332" s="196" t="n">
        <v>10</v>
      </c>
      <c r="H332" s="196" t="n">
        <v>4</v>
      </c>
      <c r="I332" s="196" t="n">
        <v>7</v>
      </c>
      <c r="J332" s="196" t="n">
        <v>7</v>
      </c>
      <c r="K332" s="196" t="n">
        <v>3</v>
      </c>
      <c r="L332" s="196" t="n">
        <v>8</v>
      </c>
      <c r="M332" s="196"/>
      <c r="N332" s="196"/>
      <c r="O332" s="196" t="n">
        <f aca="false">SUM(C332:N332)</f>
        <v>60</v>
      </c>
    </row>
    <row r="333" customFormat="false" ht="12.75" hidden="false" customHeight="false" outlineLevel="0" collapsed="false">
      <c r="A333" s="195" t="s">
        <v>212</v>
      </c>
      <c r="B333" s="202" t="s">
        <v>210</v>
      </c>
      <c r="C333" s="196" t="n">
        <f aca="false">C331-C332</f>
        <v>0</v>
      </c>
      <c r="D333" s="196" t="n">
        <f aca="false">D331-D332</f>
        <v>4</v>
      </c>
      <c r="E333" s="196" t="n">
        <f aca="false">E331-E332</f>
        <v>6</v>
      </c>
      <c r="F333" s="196" t="n">
        <f aca="false">F331-F332</f>
        <v>-2</v>
      </c>
      <c r="G333" s="196" t="n">
        <f aca="false">G331-G332</f>
        <v>-3</v>
      </c>
      <c r="H333" s="196" t="n">
        <f aca="false">H331-H332</f>
        <v>1</v>
      </c>
      <c r="I333" s="196" t="n">
        <f aca="false">I331-I332</f>
        <v>-1</v>
      </c>
      <c r="J333" s="196" t="n">
        <f aca="false">J331-J332</f>
        <v>2</v>
      </c>
      <c r="K333" s="196" t="n">
        <f aca="false">K331-K332</f>
        <v>9</v>
      </c>
      <c r="L333" s="196" t="n">
        <f aca="false">L331-L332</f>
        <v>-6</v>
      </c>
      <c r="M333" s="196"/>
      <c r="N333" s="196"/>
      <c r="O333" s="196" t="n">
        <f aca="false">O331-O332</f>
        <v>10</v>
      </c>
    </row>
    <row r="334" customFormat="false" ht="13.5" hidden="false" customHeight="false" outlineLevel="0" collapsed="false">
      <c r="A334" s="199"/>
      <c r="B334" s="200" t="s">
        <v>9</v>
      </c>
      <c r="C334" s="201" t="n">
        <f aca="false">C333/C332</f>
        <v>0</v>
      </c>
      <c r="D334" s="201" t="n">
        <f aca="false">D333/D332</f>
        <v>1</v>
      </c>
      <c r="E334" s="201" t="n">
        <f aca="false">E333/E332</f>
        <v>1</v>
      </c>
      <c r="F334" s="201" t="n">
        <f aca="false">F333/F332</f>
        <v>-0.4</v>
      </c>
      <c r="G334" s="201" t="n">
        <f aca="false">G333/G332</f>
        <v>-0.3</v>
      </c>
      <c r="H334" s="201" t="n">
        <f aca="false">H333/H332</f>
        <v>0.25</v>
      </c>
      <c r="I334" s="201" t="n">
        <f aca="false">I333/I332</f>
        <v>-0.142857142857143</v>
      </c>
      <c r="J334" s="201" t="n">
        <f aca="false">J333/J332</f>
        <v>0.285714285714286</v>
      </c>
      <c r="K334" s="201" t="n">
        <f aca="false">K333/K332</f>
        <v>3</v>
      </c>
      <c r="L334" s="201" t="n">
        <f aca="false">L333/L332</f>
        <v>-0.75</v>
      </c>
      <c r="M334" s="201"/>
      <c r="N334" s="201"/>
      <c r="O334" s="201" t="n">
        <f aca="false">O333/O332</f>
        <v>0.166666666666667</v>
      </c>
    </row>
    <row r="335" customFormat="false" ht="12.75" hidden="false" customHeight="false" outlineLevel="0" collapsed="false">
      <c r="A335" s="198"/>
      <c r="B335" s="194" t="n">
        <v>2016</v>
      </c>
      <c r="C335" s="204" t="n">
        <v>1</v>
      </c>
      <c r="D335" s="204" t="n">
        <v>2</v>
      </c>
      <c r="E335" s="204" t="n">
        <v>2</v>
      </c>
      <c r="F335" s="204" t="n">
        <v>1</v>
      </c>
      <c r="G335" s="204" t="n">
        <v>0</v>
      </c>
      <c r="H335" s="204" t="n">
        <v>0</v>
      </c>
      <c r="I335" s="204" t="n">
        <v>2</v>
      </c>
      <c r="J335" s="204" t="n">
        <v>0</v>
      </c>
      <c r="K335" s="204" t="n">
        <v>0</v>
      </c>
      <c r="L335" s="204" t="n">
        <v>2</v>
      </c>
      <c r="M335" s="204"/>
      <c r="N335" s="204"/>
      <c r="O335" s="194" t="n">
        <f aca="false">SUM(C335:N335)</f>
        <v>10</v>
      </c>
    </row>
    <row r="336" customFormat="false" ht="12.75" hidden="false" customHeight="false" outlineLevel="0" collapsed="false">
      <c r="A336" s="203" t="s">
        <v>213</v>
      </c>
      <c r="B336" s="196" t="n">
        <v>2015</v>
      </c>
      <c r="C336" s="196" t="n">
        <v>0</v>
      </c>
      <c r="D336" s="196" t="n">
        <v>1</v>
      </c>
      <c r="E336" s="196" t="n">
        <v>3</v>
      </c>
      <c r="F336" s="196" t="n">
        <v>2</v>
      </c>
      <c r="G336" s="196" t="n">
        <v>0</v>
      </c>
      <c r="H336" s="196" t="n">
        <v>0</v>
      </c>
      <c r="I336" s="196" t="n">
        <v>2</v>
      </c>
      <c r="J336" s="196" t="n">
        <v>0</v>
      </c>
      <c r="K336" s="196" t="n">
        <v>0</v>
      </c>
      <c r="L336" s="196" t="n">
        <v>1</v>
      </c>
      <c r="M336" s="196"/>
      <c r="N336" s="196"/>
      <c r="O336" s="196" t="n">
        <f aca="false">SUM(C336:N336)</f>
        <v>9</v>
      </c>
    </row>
    <row r="337" customFormat="false" ht="12.75" hidden="false" customHeight="false" outlineLevel="0" collapsed="false">
      <c r="A337" s="195" t="s">
        <v>214</v>
      </c>
      <c r="B337" s="202" t="s">
        <v>210</v>
      </c>
      <c r="C337" s="196" t="n">
        <f aca="false">C335-C336</f>
        <v>1</v>
      </c>
      <c r="D337" s="196" t="n">
        <f aca="false">D335-D336</f>
        <v>1</v>
      </c>
      <c r="E337" s="196" t="n">
        <f aca="false">E335-E336</f>
        <v>-1</v>
      </c>
      <c r="F337" s="196" t="n">
        <f aca="false">F335-F336</f>
        <v>-1</v>
      </c>
      <c r="G337" s="196" t="n">
        <f aca="false">G335-G336</f>
        <v>0</v>
      </c>
      <c r="H337" s="196" t="n">
        <f aca="false">H335-H336</f>
        <v>0</v>
      </c>
      <c r="I337" s="196" t="n">
        <f aca="false">I335-I336</f>
        <v>0</v>
      </c>
      <c r="J337" s="196" t="n">
        <f aca="false">J335-J336</f>
        <v>0</v>
      </c>
      <c r="K337" s="196" t="n">
        <f aca="false">K335-K336</f>
        <v>0</v>
      </c>
      <c r="L337" s="196" t="n">
        <f aca="false">L335-L336</f>
        <v>1</v>
      </c>
      <c r="M337" s="196"/>
      <c r="N337" s="196"/>
      <c r="O337" s="196" t="n">
        <f aca="false">O335-O336</f>
        <v>1</v>
      </c>
    </row>
    <row r="338" customFormat="false" ht="13.5" hidden="false" customHeight="false" outlineLevel="0" collapsed="false">
      <c r="A338" s="199"/>
      <c r="B338" s="200" t="s">
        <v>9</v>
      </c>
      <c r="C338" s="201" t="n">
        <v>0</v>
      </c>
      <c r="D338" s="201" t="n">
        <f aca="false">D337/D336</f>
        <v>1</v>
      </c>
      <c r="E338" s="201" t="n">
        <f aca="false">E337/E336</f>
        <v>-0.333333333333333</v>
      </c>
      <c r="F338" s="201" t="n">
        <f aca="false">F337/F336</f>
        <v>-0.5</v>
      </c>
      <c r="G338" s="201" t="n">
        <v>0</v>
      </c>
      <c r="H338" s="201" t="n">
        <v>0</v>
      </c>
      <c r="I338" s="201" t="n">
        <f aca="false">I337/I336</f>
        <v>0</v>
      </c>
      <c r="J338" s="201" t="n">
        <v>0</v>
      </c>
      <c r="K338" s="201" t="n">
        <v>0</v>
      </c>
      <c r="L338" s="201" t="n">
        <f aca="false">L337/L336</f>
        <v>1</v>
      </c>
      <c r="M338" s="201"/>
      <c r="N338" s="201"/>
      <c r="O338" s="201" t="n">
        <f aca="false">O337/O336</f>
        <v>0.111111111111111</v>
      </c>
    </row>
    <row r="339" customFormat="false" ht="12.75" hidden="false" customHeight="false" outlineLevel="0" collapsed="false">
      <c r="A339" s="198"/>
      <c r="B339" s="194" t="n">
        <v>2016</v>
      </c>
      <c r="C339" s="204" t="n">
        <v>0</v>
      </c>
      <c r="D339" s="204" t="n">
        <v>0</v>
      </c>
      <c r="E339" s="204" t="n">
        <v>0</v>
      </c>
      <c r="F339" s="204" t="n">
        <v>0</v>
      </c>
      <c r="G339" s="204" t="n">
        <v>0</v>
      </c>
      <c r="H339" s="204" t="n">
        <v>0</v>
      </c>
      <c r="I339" s="204" t="n">
        <v>0</v>
      </c>
      <c r="J339" s="204" t="n">
        <v>0</v>
      </c>
      <c r="K339" s="204" t="n">
        <v>0</v>
      </c>
      <c r="L339" s="204" t="n">
        <v>0</v>
      </c>
      <c r="M339" s="204"/>
      <c r="N339" s="204"/>
      <c r="O339" s="194" t="n">
        <f aca="false">SUM(C339:N339)</f>
        <v>0</v>
      </c>
    </row>
    <row r="340" customFormat="false" ht="12.75" hidden="false" customHeight="false" outlineLevel="0" collapsed="false">
      <c r="A340" s="203" t="s">
        <v>215</v>
      </c>
      <c r="B340" s="196" t="n">
        <v>2015</v>
      </c>
      <c r="C340" s="196" t="n">
        <v>0</v>
      </c>
      <c r="D340" s="196" t="n">
        <v>0</v>
      </c>
      <c r="E340" s="196" t="n">
        <v>0</v>
      </c>
      <c r="F340" s="196" t="n">
        <v>0</v>
      </c>
      <c r="G340" s="196" t="n">
        <v>0</v>
      </c>
      <c r="H340" s="196" t="n">
        <v>0</v>
      </c>
      <c r="I340" s="196" t="n">
        <v>0</v>
      </c>
      <c r="J340" s="196" t="n">
        <v>0</v>
      </c>
      <c r="K340" s="196" t="n">
        <v>0</v>
      </c>
      <c r="L340" s="196" t="n">
        <v>0</v>
      </c>
      <c r="M340" s="196"/>
      <c r="N340" s="196"/>
      <c r="O340" s="196" t="n">
        <f aca="false">SUM(C340:N340)</f>
        <v>0</v>
      </c>
    </row>
    <row r="341" customFormat="false" ht="12.75" hidden="false" customHeight="false" outlineLevel="0" collapsed="false">
      <c r="A341" s="203" t="s">
        <v>216</v>
      </c>
      <c r="B341" s="202" t="s">
        <v>210</v>
      </c>
      <c r="C341" s="196" t="n">
        <f aca="false">C339-C340</f>
        <v>0</v>
      </c>
      <c r="D341" s="196" t="n">
        <f aca="false">D339-D340</f>
        <v>0</v>
      </c>
      <c r="E341" s="196" t="n">
        <f aca="false">E339-E340</f>
        <v>0</v>
      </c>
      <c r="F341" s="196" t="n">
        <f aca="false">F339-F340</f>
        <v>0</v>
      </c>
      <c r="G341" s="196" t="n">
        <f aca="false">G339-G340</f>
        <v>0</v>
      </c>
      <c r="H341" s="196" t="n">
        <f aca="false">H339-H340</f>
        <v>0</v>
      </c>
      <c r="I341" s="196" t="n">
        <f aca="false">I339-I340</f>
        <v>0</v>
      </c>
      <c r="J341" s="196" t="n">
        <f aca="false">J339-J340</f>
        <v>0</v>
      </c>
      <c r="K341" s="196" t="n">
        <f aca="false">K339-K340</f>
        <v>0</v>
      </c>
      <c r="L341" s="196" t="n">
        <f aca="false">L339-L340</f>
        <v>0</v>
      </c>
      <c r="M341" s="196"/>
      <c r="N341" s="196"/>
      <c r="O341" s="196" t="n">
        <f aca="false">O339-O340</f>
        <v>0</v>
      </c>
    </row>
    <row r="342" customFormat="false" ht="13.5" hidden="false" customHeight="false" outlineLevel="0" collapsed="false">
      <c r="A342" s="199"/>
      <c r="B342" s="200" t="s">
        <v>9</v>
      </c>
      <c r="C342" s="201" t="n">
        <v>0</v>
      </c>
      <c r="D342" s="201" t="n">
        <v>0</v>
      </c>
      <c r="E342" s="201" t="n">
        <v>0</v>
      </c>
      <c r="F342" s="201" t="n">
        <v>0</v>
      </c>
      <c r="G342" s="201" t="n">
        <v>0</v>
      </c>
      <c r="H342" s="201" t="n">
        <v>0</v>
      </c>
      <c r="I342" s="201" t="n">
        <v>0</v>
      </c>
      <c r="J342" s="201" t="n">
        <v>0</v>
      </c>
      <c r="K342" s="222" t="n">
        <v>0</v>
      </c>
      <c r="L342" s="201" t="n">
        <v>0</v>
      </c>
      <c r="M342" s="201"/>
      <c r="N342" s="201"/>
      <c r="O342" s="201" t="n">
        <v>0</v>
      </c>
    </row>
    <row r="343" customFormat="false" ht="12.75" hidden="false" customHeight="false" outlineLevel="0" collapsed="false">
      <c r="A343" s="198"/>
      <c r="B343" s="194" t="n">
        <v>2016</v>
      </c>
      <c r="C343" s="204" t="n">
        <v>33</v>
      </c>
      <c r="D343" s="204" t="n">
        <v>19</v>
      </c>
      <c r="E343" s="204" t="n">
        <v>24</v>
      </c>
      <c r="F343" s="204" t="n">
        <v>17</v>
      </c>
      <c r="G343" s="204" t="n">
        <v>25</v>
      </c>
      <c r="H343" s="204" t="n">
        <v>16</v>
      </c>
      <c r="I343" s="204" t="n">
        <v>20</v>
      </c>
      <c r="J343" s="204" t="n">
        <v>33</v>
      </c>
      <c r="K343" s="204" t="n">
        <v>30</v>
      </c>
      <c r="L343" s="204" t="n">
        <v>42</v>
      </c>
      <c r="M343" s="204"/>
      <c r="N343" s="204"/>
      <c r="O343" s="194" t="n">
        <f aca="false">SUM(C343:N343)</f>
        <v>259</v>
      </c>
    </row>
    <row r="344" customFormat="false" ht="12.75" hidden="false" customHeight="false" outlineLevel="0" collapsed="false">
      <c r="A344" s="195" t="s">
        <v>217</v>
      </c>
      <c r="B344" s="196" t="n">
        <v>2015</v>
      </c>
      <c r="C344" s="196" t="n">
        <v>50</v>
      </c>
      <c r="D344" s="196" t="n">
        <v>48</v>
      </c>
      <c r="E344" s="196" t="n">
        <v>48</v>
      </c>
      <c r="F344" s="196" t="n">
        <v>38</v>
      </c>
      <c r="G344" s="196" t="n">
        <v>44</v>
      </c>
      <c r="H344" s="196" t="n">
        <v>29</v>
      </c>
      <c r="I344" s="196" t="n">
        <v>33</v>
      </c>
      <c r="J344" s="196" t="n">
        <v>43</v>
      </c>
      <c r="K344" s="196" t="n">
        <v>30</v>
      </c>
      <c r="L344" s="196" t="n">
        <v>36</v>
      </c>
      <c r="M344" s="196"/>
      <c r="N344" s="196"/>
      <c r="O344" s="196" t="n">
        <f aca="false">SUM(C344:N344)</f>
        <v>399</v>
      </c>
    </row>
    <row r="345" customFormat="false" ht="12.75" hidden="false" customHeight="false" outlineLevel="0" collapsed="false">
      <c r="A345" s="198"/>
      <c r="B345" s="202" t="s">
        <v>210</v>
      </c>
      <c r="C345" s="196" t="n">
        <f aca="false">C343-C344</f>
        <v>-17</v>
      </c>
      <c r="D345" s="196" t="n">
        <f aca="false">D343-D344</f>
        <v>-29</v>
      </c>
      <c r="E345" s="196" t="n">
        <f aca="false">E343-E344</f>
        <v>-24</v>
      </c>
      <c r="F345" s="196" t="n">
        <f aca="false">F343-F344</f>
        <v>-21</v>
      </c>
      <c r="G345" s="196" t="n">
        <f aca="false">G343-G344</f>
        <v>-19</v>
      </c>
      <c r="H345" s="196" t="n">
        <f aca="false">H343-H344</f>
        <v>-13</v>
      </c>
      <c r="I345" s="196" t="n">
        <f aca="false">I343-I344</f>
        <v>-13</v>
      </c>
      <c r="J345" s="196" t="n">
        <f aca="false">J343-J344</f>
        <v>-10</v>
      </c>
      <c r="K345" s="196" t="n">
        <f aca="false">K343-K344</f>
        <v>0</v>
      </c>
      <c r="L345" s="196" t="n">
        <f aca="false">L343-L344</f>
        <v>6</v>
      </c>
      <c r="M345" s="196"/>
      <c r="N345" s="196"/>
      <c r="O345" s="196" t="n">
        <f aca="false">O343-O344</f>
        <v>-140</v>
      </c>
    </row>
    <row r="346" customFormat="false" ht="13.5" hidden="false" customHeight="false" outlineLevel="0" collapsed="false">
      <c r="A346" s="199"/>
      <c r="B346" s="200" t="s">
        <v>9</v>
      </c>
      <c r="C346" s="201" t="n">
        <f aca="false">C345/C344</f>
        <v>-0.34</v>
      </c>
      <c r="D346" s="201" t="n">
        <f aca="false">D345/D344</f>
        <v>-0.604166666666667</v>
      </c>
      <c r="E346" s="201" t="n">
        <f aca="false">E345/E344</f>
        <v>-0.5</v>
      </c>
      <c r="F346" s="201" t="n">
        <f aca="false">F345/F344</f>
        <v>-0.552631578947369</v>
      </c>
      <c r="G346" s="201" t="n">
        <f aca="false">G345/G344</f>
        <v>-0.431818181818182</v>
      </c>
      <c r="H346" s="201" t="n">
        <f aca="false">H345/H344</f>
        <v>-0.448275862068966</v>
      </c>
      <c r="I346" s="201" t="n">
        <f aca="false">I345/I344</f>
        <v>-0.393939393939394</v>
      </c>
      <c r="J346" s="201" t="n">
        <f aca="false">J345/J344</f>
        <v>-0.232558139534884</v>
      </c>
      <c r="K346" s="201" t="n">
        <f aca="false">K345/K344</f>
        <v>0</v>
      </c>
      <c r="L346" s="201" t="n">
        <f aca="false">L345/L344</f>
        <v>0.166666666666667</v>
      </c>
      <c r="M346" s="201"/>
      <c r="N346" s="201"/>
      <c r="O346" s="201" t="n">
        <f aca="false">O345/O344</f>
        <v>-0.350877192982456</v>
      </c>
    </row>
    <row r="347" customFormat="false" ht="12.75" hidden="false" customHeight="false" outlineLevel="0" collapsed="false">
      <c r="A347" s="198"/>
      <c r="B347" s="194" t="n">
        <v>2016</v>
      </c>
      <c r="C347" s="204" t="n">
        <v>34</v>
      </c>
      <c r="D347" s="204" t="n">
        <v>20</v>
      </c>
      <c r="E347" s="204" t="n">
        <v>18</v>
      </c>
      <c r="F347" s="204" t="n">
        <v>26</v>
      </c>
      <c r="G347" s="204" t="n">
        <v>32</v>
      </c>
      <c r="H347" s="204" t="n">
        <v>34</v>
      </c>
      <c r="I347" s="204" t="n">
        <v>24</v>
      </c>
      <c r="J347" s="204" t="n">
        <v>20</v>
      </c>
      <c r="K347" s="204" t="n">
        <v>19</v>
      </c>
      <c r="L347" s="204" t="n">
        <v>28</v>
      </c>
      <c r="M347" s="204"/>
      <c r="N347" s="204"/>
      <c r="O347" s="194" t="n">
        <f aca="false">SUM(C347:N347)</f>
        <v>255</v>
      </c>
    </row>
    <row r="348" customFormat="false" ht="12.75" hidden="false" customHeight="false" outlineLevel="0" collapsed="false">
      <c r="A348" s="195" t="s">
        <v>218</v>
      </c>
      <c r="B348" s="196" t="n">
        <v>2015</v>
      </c>
      <c r="C348" s="196" t="n">
        <v>24</v>
      </c>
      <c r="D348" s="196" t="n">
        <v>24</v>
      </c>
      <c r="E348" s="196" t="n">
        <v>37</v>
      </c>
      <c r="F348" s="196" t="n">
        <v>14</v>
      </c>
      <c r="G348" s="196" t="n">
        <v>23</v>
      </c>
      <c r="H348" s="196" t="n">
        <v>33</v>
      </c>
      <c r="I348" s="196" t="n">
        <v>29</v>
      </c>
      <c r="J348" s="196" t="n">
        <v>34</v>
      </c>
      <c r="K348" s="196" t="n">
        <v>14</v>
      </c>
      <c r="L348" s="196" t="n">
        <v>17</v>
      </c>
      <c r="M348" s="196"/>
      <c r="N348" s="196"/>
      <c r="O348" s="196" t="n">
        <f aca="false">SUM(C348:N348)</f>
        <v>249</v>
      </c>
    </row>
    <row r="349" customFormat="false" ht="12.75" hidden="false" customHeight="false" outlineLevel="0" collapsed="false">
      <c r="A349" s="195" t="s">
        <v>219</v>
      </c>
      <c r="B349" s="202" t="s">
        <v>210</v>
      </c>
      <c r="C349" s="196" t="n">
        <f aca="false">C347-C348</f>
        <v>10</v>
      </c>
      <c r="D349" s="196" t="n">
        <f aca="false">D347-D348</f>
        <v>-4</v>
      </c>
      <c r="E349" s="196" t="n">
        <f aca="false">E347-E348</f>
        <v>-19</v>
      </c>
      <c r="F349" s="196" t="n">
        <f aca="false">F347-F348</f>
        <v>12</v>
      </c>
      <c r="G349" s="196" t="n">
        <f aca="false">G347-G348</f>
        <v>9</v>
      </c>
      <c r="H349" s="196" t="n">
        <f aca="false">H347-H348</f>
        <v>1</v>
      </c>
      <c r="I349" s="196" t="n">
        <f aca="false">I347-I348</f>
        <v>-5</v>
      </c>
      <c r="J349" s="196" t="n">
        <f aca="false">J347-J348</f>
        <v>-14</v>
      </c>
      <c r="K349" s="196" t="n">
        <f aca="false">K347-K348</f>
        <v>5</v>
      </c>
      <c r="L349" s="196" t="n">
        <f aca="false">L347-L348</f>
        <v>11</v>
      </c>
      <c r="M349" s="196"/>
      <c r="N349" s="196"/>
      <c r="O349" s="196" t="n">
        <f aca="false">O347-O348</f>
        <v>6</v>
      </c>
    </row>
    <row r="350" customFormat="false" ht="13.5" hidden="false" customHeight="false" outlineLevel="0" collapsed="false">
      <c r="A350" s="199" t="s">
        <v>2</v>
      </c>
      <c r="B350" s="200" t="s">
        <v>9</v>
      </c>
      <c r="C350" s="201" t="n">
        <f aca="false">C349/C348</f>
        <v>0.416666666666667</v>
      </c>
      <c r="D350" s="201" t="n">
        <f aca="false">D349/D348</f>
        <v>-0.166666666666667</v>
      </c>
      <c r="E350" s="201" t="n">
        <f aca="false">E349/E348</f>
        <v>-0.513513513513514</v>
      </c>
      <c r="F350" s="201" t="n">
        <f aca="false">F349/F348</f>
        <v>0.857142857142857</v>
      </c>
      <c r="G350" s="201" t="n">
        <f aca="false">G349/G348</f>
        <v>0.391304347826087</v>
      </c>
      <c r="H350" s="201" t="n">
        <f aca="false">H349/H348</f>
        <v>0.0303030303030303</v>
      </c>
      <c r="I350" s="201" t="n">
        <f aca="false">I349/I348</f>
        <v>-0.172413793103448</v>
      </c>
      <c r="J350" s="201" t="n">
        <f aca="false">J349/J348</f>
        <v>-0.411764705882353</v>
      </c>
      <c r="K350" s="201" t="n">
        <f aca="false">K349/K348</f>
        <v>0.357142857142857</v>
      </c>
      <c r="L350" s="201" t="n">
        <f aca="false">L349/L348</f>
        <v>0.647058823529412</v>
      </c>
      <c r="M350" s="201"/>
      <c r="N350" s="201"/>
      <c r="O350" s="201" t="n">
        <f aca="false">O349/O348</f>
        <v>0.0240963855421687</v>
      </c>
    </row>
    <row r="351" customFormat="false" ht="12.75" hidden="false" customHeight="false" outlineLevel="0" collapsed="false">
      <c r="A351" s="198"/>
      <c r="B351" s="194" t="n">
        <v>2016</v>
      </c>
      <c r="C351" s="204" t="n">
        <v>68</v>
      </c>
      <c r="D351" s="204" t="n">
        <v>77</v>
      </c>
      <c r="E351" s="204" t="n">
        <v>77</v>
      </c>
      <c r="F351" s="204" t="n">
        <v>63</v>
      </c>
      <c r="G351" s="204" t="n">
        <v>53</v>
      </c>
      <c r="H351" s="204" t="n">
        <v>54</v>
      </c>
      <c r="I351" s="204" t="n">
        <v>70</v>
      </c>
      <c r="J351" s="204" t="n">
        <v>70</v>
      </c>
      <c r="K351" s="204" t="n">
        <v>57</v>
      </c>
      <c r="L351" s="204" t="n">
        <v>51</v>
      </c>
      <c r="M351" s="204"/>
      <c r="N351" s="204"/>
      <c r="O351" s="194" t="n">
        <f aca="false">SUM(C351:N351)</f>
        <v>640</v>
      </c>
    </row>
    <row r="352" customFormat="false" ht="12.75" hidden="false" customHeight="false" outlineLevel="0" collapsed="false">
      <c r="A352" s="195" t="s">
        <v>220</v>
      </c>
      <c r="B352" s="196" t="n">
        <v>2015</v>
      </c>
      <c r="C352" s="196" t="n">
        <v>94</v>
      </c>
      <c r="D352" s="196" t="n">
        <v>78</v>
      </c>
      <c r="E352" s="196" t="n">
        <v>70</v>
      </c>
      <c r="F352" s="196" t="n">
        <v>72</v>
      </c>
      <c r="G352" s="196" t="n">
        <v>80</v>
      </c>
      <c r="H352" s="196" t="n">
        <v>66</v>
      </c>
      <c r="I352" s="196" t="n">
        <v>68</v>
      </c>
      <c r="J352" s="196" t="n">
        <v>58</v>
      </c>
      <c r="K352" s="196" t="n">
        <v>67</v>
      </c>
      <c r="L352" s="196" t="n">
        <v>63</v>
      </c>
      <c r="M352" s="196"/>
      <c r="N352" s="196"/>
      <c r="O352" s="196" t="n">
        <f aca="false">SUM(C352:N352)</f>
        <v>716</v>
      </c>
    </row>
    <row r="353" customFormat="false" ht="12.75" hidden="false" customHeight="false" outlineLevel="0" collapsed="false">
      <c r="A353" s="198"/>
      <c r="B353" s="202" t="s">
        <v>210</v>
      </c>
      <c r="C353" s="196" t="n">
        <f aca="false">C351-C352</f>
        <v>-26</v>
      </c>
      <c r="D353" s="196" t="n">
        <f aca="false">D351-D352</f>
        <v>-1</v>
      </c>
      <c r="E353" s="196" t="n">
        <f aca="false">E351-E352</f>
        <v>7</v>
      </c>
      <c r="F353" s="196" t="n">
        <f aca="false">F351-F352</f>
        <v>-9</v>
      </c>
      <c r="G353" s="196" t="n">
        <f aca="false">G351-G352</f>
        <v>-27</v>
      </c>
      <c r="H353" s="196" t="n">
        <f aca="false">H351-H352</f>
        <v>-12</v>
      </c>
      <c r="I353" s="196" t="n">
        <f aca="false">I351-I352</f>
        <v>2</v>
      </c>
      <c r="J353" s="196" t="n">
        <f aca="false">J351-J352</f>
        <v>12</v>
      </c>
      <c r="K353" s="196" t="n">
        <f aca="false">K351-K352</f>
        <v>-10</v>
      </c>
      <c r="L353" s="196" t="n">
        <f aca="false">L351-L352</f>
        <v>-12</v>
      </c>
      <c r="M353" s="196"/>
      <c r="N353" s="196"/>
      <c r="O353" s="196" t="n">
        <f aca="false">O351-O352</f>
        <v>-76</v>
      </c>
    </row>
    <row r="354" customFormat="false" ht="13.5" hidden="false" customHeight="false" outlineLevel="0" collapsed="false">
      <c r="A354" s="199"/>
      <c r="B354" s="200" t="s">
        <v>9</v>
      </c>
      <c r="C354" s="201" t="n">
        <f aca="false">C353/C352</f>
        <v>-0.276595744680851</v>
      </c>
      <c r="D354" s="201" t="n">
        <f aca="false">D353/D352</f>
        <v>-0.0128205128205128</v>
      </c>
      <c r="E354" s="201" t="n">
        <f aca="false">E353/E352</f>
        <v>0.1</v>
      </c>
      <c r="F354" s="201" t="n">
        <f aca="false">F353/F352</f>
        <v>-0.125</v>
      </c>
      <c r="G354" s="201" t="n">
        <f aca="false">G353/G352</f>
        <v>-0.3375</v>
      </c>
      <c r="H354" s="201" t="n">
        <f aca="false">H353/H352</f>
        <v>-0.181818181818182</v>
      </c>
      <c r="I354" s="201" t="n">
        <f aca="false">I353/I352</f>
        <v>0.0294117647058824</v>
      </c>
      <c r="J354" s="201" t="n">
        <f aca="false">J353/J352</f>
        <v>0.206896551724138</v>
      </c>
      <c r="K354" s="201" t="n">
        <f aca="false">K353/K352</f>
        <v>-0.149253731343284</v>
      </c>
      <c r="L354" s="201" t="n">
        <f aca="false">L353/L352</f>
        <v>-0.19047619047619</v>
      </c>
      <c r="M354" s="201"/>
      <c r="N354" s="201"/>
      <c r="O354" s="201" t="n">
        <f aca="false">O353/O352</f>
        <v>-0.106145251396648</v>
      </c>
    </row>
    <row r="355" customFormat="false" ht="12.75" hidden="false" customHeight="false" outlineLevel="0" collapsed="false">
      <c r="A355" s="198"/>
      <c r="B355" s="194" t="n">
        <v>2016</v>
      </c>
      <c r="C355" s="204" t="n">
        <v>181</v>
      </c>
      <c r="D355" s="204" t="n">
        <v>246</v>
      </c>
      <c r="E355" s="204" t="n">
        <v>219</v>
      </c>
      <c r="F355" s="204" t="n">
        <v>176</v>
      </c>
      <c r="G355" s="204" t="n">
        <v>180</v>
      </c>
      <c r="H355" s="204" t="n">
        <v>238</v>
      </c>
      <c r="I355" s="204" t="n">
        <v>213</v>
      </c>
      <c r="J355" s="204" t="n">
        <v>176</v>
      </c>
      <c r="K355" s="204" t="n">
        <v>191</v>
      </c>
      <c r="L355" s="204" t="n">
        <v>156</v>
      </c>
      <c r="M355" s="204"/>
      <c r="N355" s="204"/>
      <c r="O355" s="194" t="n">
        <f aca="false">SUM(C355:N355)</f>
        <v>1976</v>
      </c>
    </row>
    <row r="356" customFormat="false" ht="12.75" hidden="false" customHeight="false" outlineLevel="0" collapsed="false">
      <c r="A356" s="195" t="s">
        <v>221</v>
      </c>
      <c r="B356" s="196" t="n">
        <v>2015</v>
      </c>
      <c r="C356" s="196" t="n">
        <v>263</v>
      </c>
      <c r="D356" s="196" t="n">
        <v>199</v>
      </c>
      <c r="E356" s="196" t="n">
        <v>193</v>
      </c>
      <c r="F356" s="196" t="n">
        <v>172</v>
      </c>
      <c r="G356" s="196" t="n">
        <v>192</v>
      </c>
      <c r="H356" s="196" t="n">
        <v>204</v>
      </c>
      <c r="I356" s="196" t="n">
        <v>225</v>
      </c>
      <c r="J356" s="196" t="n">
        <v>169</v>
      </c>
      <c r="K356" s="196" t="n">
        <v>219</v>
      </c>
      <c r="L356" s="196" t="n">
        <v>245</v>
      </c>
      <c r="M356" s="196"/>
      <c r="N356" s="196"/>
      <c r="O356" s="196" t="n">
        <f aca="false">SUM(C356:N356)</f>
        <v>2081</v>
      </c>
    </row>
    <row r="357" customFormat="false" ht="12.75" hidden="false" customHeight="false" outlineLevel="0" collapsed="false">
      <c r="A357" s="195" t="s">
        <v>222</v>
      </c>
      <c r="B357" s="202" t="s">
        <v>210</v>
      </c>
      <c r="C357" s="196" t="n">
        <f aca="false">C355-C356</f>
        <v>-82</v>
      </c>
      <c r="D357" s="196" t="n">
        <f aca="false">D355-D356</f>
        <v>47</v>
      </c>
      <c r="E357" s="196" t="n">
        <f aca="false">E355-E356</f>
        <v>26</v>
      </c>
      <c r="F357" s="196" t="n">
        <f aca="false">F355-F356</f>
        <v>4</v>
      </c>
      <c r="G357" s="196" t="n">
        <f aca="false">G355-G356</f>
        <v>-12</v>
      </c>
      <c r="H357" s="196" t="n">
        <f aca="false">H355-H356</f>
        <v>34</v>
      </c>
      <c r="I357" s="196" t="n">
        <f aca="false">I355-I356</f>
        <v>-12</v>
      </c>
      <c r="J357" s="196" t="n">
        <f aca="false">J355-J356</f>
        <v>7</v>
      </c>
      <c r="K357" s="196" t="n">
        <f aca="false">K355-K356</f>
        <v>-28</v>
      </c>
      <c r="L357" s="196" t="n">
        <f aca="false">L355-L356</f>
        <v>-89</v>
      </c>
      <c r="M357" s="196"/>
      <c r="N357" s="196"/>
      <c r="O357" s="196" t="n">
        <f aca="false">O355-O356</f>
        <v>-105</v>
      </c>
    </row>
    <row r="358" customFormat="false" ht="13.5" hidden="false" customHeight="false" outlineLevel="0" collapsed="false">
      <c r="A358" s="199"/>
      <c r="B358" s="200" t="s">
        <v>9</v>
      </c>
      <c r="C358" s="201" t="n">
        <f aca="false">C357/C356</f>
        <v>-0.311787072243346</v>
      </c>
      <c r="D358" s="201" t="n">
        <f aca="false">D357/D356</f>
        <v>0.236180904522613</v>
      </c>
      <c r="E358" s="201" t="n">
        <f aca="false">E357/E356</f>
        <v>0.134715025906736</v>
      </c>
      <c r="F358" s="201" t="n">
        <f aca="false">F357/F356</f>
        <v>0.0232558139534884</v>
      </c>
      <c r="G358" s="201" t="n">
        <f aca="false">G357/G356</f>
        <v>-0.0625</v>
      </c>
      <c r="H358" s="201" t="n">
        <f aca="false">H357/H356</f>
        <v>0.166666666666667</v>
      </c>
      <c r="I358" s="201" t="n">
        <f aca="false">I357/I356</f>
        <v>-0.0533333333333333</v>
      </c>
      <c r="J358" s="201" t="n">
        <f aca="false">J357/J356</f>
        <v>0.0414201183431953</v>
      </c>
      <c r="K358" s="201" t="n">
        <f aca="false">K357/K356</f>
        <v>-0.127853881278539</v>
      </c>
      <c r="L358" s="201" t="n">
        <f aca="false">L357/L356</f>
        <v>-0.363265306122449</v>
      </c>
      <c r="M358" s="201"/>
      <c r="N358" s="201"/>
      <c r="O358" s="201" t="n">
        <f aca="false">O357/O356</f>
        <v>-0.0504565112926478</v>
      </c>
    </row>
    <row r="359" customFormat="false" ht="12.75" hidden="false" customHeight="false" outlineLevel="0" collapsed="false">
      <c r="A359" s="198"/>
      <c r="B359" s="194" t="n">
        <v>2016</v>
      </c>
      <c r="C359" s="204" t="n">
        <v>14</v>
      </c>
      <c r="D359" s="204" t="n">
        <v>28</v>
      </c>
      <c r="E359" s="204" t="n">
        <v>37</v>
      </c>
      <c r="F359" s="204" t="n">
        <v>18</v>
      </c>
      <c r="G359" s="204" t="n">
        <v>15</v>
      </c>
      <c r="H359" s="204" t="n">
        <v>33</v>
      </c>
      <c r="I359" s="204" t="n">
        <v>25</v>
      </c>
      <c r="J359" s="204" t="n">
        <v>28</v>
      </c>
      <c r="K359" s="204" t="n">
        <v>24</v>
      </c>
      <c r="L359" s="204" t="n">
        <v>20</v>
      </c>
      <c r="M359" s="204"/>
      <c r="N359" s="204"/>
      <c r="O359" s="194" t="n">
        <f aca="false">SUM(C359:N359)</f>
        <v>242</v>
      </c>
    </row>
    <row r="360" customFormat="false" ht="12.75" hidden="false" customHeight="false" outlineLevel="0" collapsed="false">
      <c r="A360" s="195" t="s">
        <v>223</v>
      </c>
      <c r="B360" s="196" t="n">
        <v>2015</v>
      </c>
      <c r="C360" s="196" t="n">
        <v>26</v>
      </c>
      <c r="D360" s="196" t="n">
        <v>18</v>
      </c>
      <c r="E360" s="196" t="n">
        <v>19</v>
      </c>
      <c r="F360" s="196" t="n">
        <v>20</v>
      </c>
      <c r="G360" s="196" t="n">
        <v>20</v>
      </c>
      <c r="H360" s="196" t="n">
        <v>26</v>
      </c>
      <c r="I360" s="196" t="n">
        <v>37</v>
      </c>
      <c r="J360" s="196" t="n">
        <v>13</v>
      </c>
      <c r="K360" s="196" t="n">
        <v>27</v>
      </c>
      <c r="L360" s="196" t="n">
        <v>11</v>
      </c>
      <c r="M360" s="196"/>
      <c r="N360" s="196"/>
      <c r="O360" s="196" t="n">
        <f aca="false">SUM(C360:N360)</f>
        <v>217</v>
      </c>
    </row>
    <row r="361" customFormat="false" ht="12.75" hidden="false" customHeight="false" outlineLevel="0" collapsed="false">
      <c r="A361" s="195" t="s">
        <v>224</v>
      </c>
      <c r="B361" s="202" t="s">
        <v>210</v>
      </c>
      <c r="C361" s="196" t="n">
        <f aca="false">C359-C360</f>
        <v>-12</v>
      </c>
      <c r="D361" s="196" t="n">
        <f aca="false">D359-D360</f>
        <v>10</v>
      </c>
      <c r="E361" s="196" t="n">
        <f aca="false">E359-E360</f>
        <v>18</v>
      </c>
      <c r="F361" s="196" t="n">
        <f aca="false">F359-F360</f>
        <v>-2</v>
      </c>
      <c r="G361" s="196" t="n">
        <f aca="false">G359-G360</f>
        <v>-5</v>
      </c>
      <c r="H361" s="196" t="n">
        <f aca="false">H359-H360</f>
        <v>7</v>
      </c>
      <c r="I361" s="196" t="n">
        <f aca="false">I359-I360</f>
        <v>-12</v>
      </c>
      <c r="J361" s="196" t="n">
        <f aca="false">J359-J360</f>
        <v>15</v>
      </c>
      <c r="K361" s="196" t="n">
        <f aca="false">K359-K360</f>
        <v>-3</v>
      </c>
      <c r="L361" s="196" t="n">
        <f aca="false">L359-L360</f>
        <v>9</v>
      </c>
      <c r="M361" s="196"/>
      <c r="N361" s="196"/>
      <c r="O361" s="196" t="n">
        <f aca="false">O359-O360</f>
        <v>25</v>
      </c>
    </row>
    <row r="362" customFormat="false" ht="13.5" hidden="false" customHeight="false" outlineLevel="0" collapsed="false">
      <c r="A362" s="199"/>
      <c r="B362" s="200" t="s">
        <v>9</v>
      </c>
      <c r="C362" s="201" t="n">
        <f aca="false">C361/C360</f>
        <v>-0.461538461538462</v>
      </c>
      <c r="D362" s="201" t="n">
        <f aca="false">D361/D360</f>
        <v>0.555555555555556</v>
      </c>
      <c r="E362" s="201" t="n">
        <f aca="false">E361/E360</f>
        <v>0.947368421052632</v>
      </c>
      <c r="F362" s="201" t="n">
        <f aca="false">F361/F360</f>
        <v>-0.1</v>
      </c>
      <c r="G362" s="201" t="n">
        <f aca="false">G361/G360</f>
        <v>-0.25</v>
      </c>
      <c r="H362" s="201" t="n">
        <f aca="false">H361/H360</f>
        <v>0.269230769230769</v>
      </c>
      <c r="I362" s="201" t="n">
        <f aca="false">I361/I360</f>
        <v>-0.324324324324324</v>
      </c>
      <c r="J362" s="201" t="n">
        <f aca="false">J361/J360</f>
        <v>1.15384615384615</v>
      </c>
      <c r="K362" s="201" t="n">
        <f aca="false">K361/K360</f>
        <v>-0.111111111111111</v>
      </c>
      <c r="L362" s="201" t="n">
        <f aca="false">L361/L360</f>
        <v>0.818181818181818</v>
      </c>
      <c r="M362" s="201"/>
      <c r="N362" s="201"/>
      <c r="O362" s="201" t="n">
        <f aca="false">O361/O360</f>
        <v>0.115207373271889</v>
      </c>
    </row>
    <row r="365" customFormat="false" ht="13.5" hidden="false" customHeight="false" outlineLevel="0" collapsed="false">
      <c r="A365" s="210" t="s">
        <v>157</v>
      </c>
      <c r="B365" s="209"/>
      <c r="C365" s="209"/>
    </row>
    <row r="366" customFormat="false" ht="13.5" hidden="false" customHeight="false" outlineLevel="0" collapsed="false">
      <c r="A366" s="0" t="s">
        <v>2</v>
      </c>
      <c r="B366" s="192" t="s">
        <v>196</v>
      </c>
      <c r="C366" s="192" t="s">
        <v>197</v>
      </c>
      <c r="D366" s="192" t="s">
        <v>198</v>
      </c>
      <c r="E366" s="192" t="s">
        <v>199</v>
      </c>
      <c r="F366" s="192" t="s">
        <v>200</v>
      </c>
      <c r="G366" s="192" t="s">
        <v>201</v>
      </c>
      <c r="H366" s="192" t="s">
        <v>202</v>
      </c>
      <c r="I366" s="192" t="s">
        <v>203</v>
      </c>
      <c r="J366" s="192" t="s">
        <v>204</v>
      </c>
      <c r="K366" s="192" t="s">
        <v>205</v>
      </c>
      <c r="L366" s="192" t="s">
        <v>206</v>
      </c>
      <c r="M366" s="192" t="s">
        <v>207</v>
      </c>
      <c r="N366" s="192" t="s">
        <v>208</v>
      </c>
      <c r="O366" s="192" t="s">
        <v>52</v>
      </c>
    </row>
    <row r="367" customFormat="false" ht="12.75" hidden="false" customHeight="false" outlineLevel="0" collapsed="false">
      <c r="A367" s="193"/>
      <c r="B367" s="194" t="n">
        <v>2016</v>
      </c>
      <c r="C367" s="194" t="n">
        <f aca="false">SUM(C371+C375+C383+C387+C391+C395+C399)</f>
        <v>144</v>
      </c>
      <c r="D367" s="194" t="n">
        <f aca="false">SUM(D371+D375+D383+D387+D391+D395+D399)</f>
        <v>137</v>
      </c>
      <c r="E367" s="194" t="n">
        <f aca="false">SUM(E371+E375+E383+E387+E391+E395+E399)</f>
        <v>141</v>
      </c>
      <c r="F367" s="194" t="n">
        <f aca="false">SUM(F371+F375+F383+F387+F391+F395+F399)</f>
        <v>136</v>
      </c>
      <c r="G367" s="194" t="n">
        <f aca="false">SUM(G371+G375+G383+G387+G391+G395+G399)</f>
        <v>135</v>
      </c>
      <c r="H367" s="194" t="n">
        <f aca="false">SUM(H371+H375+H383+H387+H391+H395+H399)</f>
        <v>158</v>
      </c>
      <c r="I367" s="194" t="n">
        <f aca="false">SUM(I371+I375+I383+I387+I391+I395+I399)</f>
        <v>133</v>
      </c>
      <c r="J367" s="194" t="n">
        <f aca="false">SUM(J371+J375+J383+J387+J391+J395+J399)</f>
        <v>155</v>
      </c>
      <c r="K367" s="194" t="n">
        <f aca="false">SUM(K371+K375+K383+K387+K391+K395+K399)</f>
        <v>164</v>
      </c>
      <c r="L367" s="194" t="n">
        <f aca="false">SUM(L371+L375+L383+L387+L391+L395+L399)</f>
        <v>104</v>
      </c>
      <c r="M367" s="194"/>
      <c r="N367" s="194"/>
      <c r="O367" s="194" t="n">
        <f aca="false">SUM(O371+O375+O383+O387+O391+O395+O399)</f>
        <v>1407</v>
      </c>
    </row>
    <row r="368" customFormat="false" ht="12.75" hidden="false" customHeight="false" outlineLevel="0" collapsed="false">
      <c r="A368" s="195" t="s">
        <v>52</v>
      </c>
      <c r="B368" s="196" t="n">
        <v>2015</v>
      </c>
      <c r="C368" s="196" t="n">
        <f aca="false">SUM(C372+C376+C380+C384+C388+C392+C396+C400)</f>
        <v>170</v>
      </c>
      <c r="D368" s="196" t="n">
        <f aca="false">SUM(D372+D376+D380+D384+D388+D392+D396+D400)</f>
        <v>134</v>
      </c>
      <c r="E368" s="196" t="n">
        <f aca="false">SUM(E372+E376+E380+E384+E388+E392+E396+E400)</f>
        <v>129</v>
      </c>
      <c r="F368" s="196" t="n">
        <f aca="false">SUM(F372+F376+F380+F384+F388+F392+F396+F400)</f>
        <v>111</v>
      </c>
      <c r="G368" s="196" t="n">
        <f aca="false">SUM(G372+G376+G380+G384+G388+G392+G396+G400)</f>
        <v>140</v>
      </c>
      <c r="H368" s="196" t="n">
        <f aca="false">SUM(H372+H376+H380+H384+H388+H392+H396+H400)</f>
        <v>164</v>
      </c>
      <c r="I368" s="196" t="n">
        <f aca="false">SUM(I372+I376+I380+I384+I388+I392+I396+I400)</f>
        <v>155</v>
      </c>
      <c r="J368" s="196" t="n">
        <f aca="false">SUM(J372+J376+J380+J384+J388+J392+J396+J400)</f>
        <v>148</v>
      </c>
      <c r="K368" s="196" t="n">
        <f aca="false">SUM(K372+K376+K380+K384+K388+K392+K396+K400)</f>
        <v>140</v>
      </c>
      <c r="L368" s="196" t="n">
        <f aca="false">SUM(L372+L376+L380+L384+L388+L392+L396+L400)</f>
        <v>132</v>
      </c>
      <c r="M368" s="196"/>
      <c r="N368" s="196"/>
      <c r="O368" s="196" t="n">
        <f aca="false">SUM(C368:N368)</f>
        <v>1423</v>
      </c>
    </row>
    <row r="369" customFormat="false" ht="12.75" hidden="false" customHeight="false" outlineLevel="0" collapsed="false">
      <c r="A369" s="195" t="s">
        <v>209</v>
      </c>
      <c r="B369" s="197" t="s">
        <v>210</v>
      </c>
      <c r="C369" s="196" t="n">
        <f aca="false">C367-C368</f>
        <v>-26</v>
      </c>
      <c r="D369" s="196" t="n">
        <f aca="false">D367-D368</f>
        <v>3</v>
      </c>
      <c r="E369" s="196" t="n">
        <f aca="false">E367-E368</f>
        <v>12</v>
      </c>
      <c r="F369" s="196" t="n">
        <f aca="false">F367-F368</f>
        <v>25</v>
      </c>
      <c r="G369" s="196" t="n">
        <f aca="false">G367-G368</f>
        <v>-5</v>
      </c>
      <c r="H369" s="196" t="n">
        <f aca="false">H367-H368</f>
        <v>-6</v>
      </c>
      <c r="I369" s="196" t="n">
        <f aca="false">I367-I368</f>
        <v>-22</v>
      </c>
      <c r="J369" s="196" t="n">
        <f aca="false">J367-J368</f>
        <v>7</v>
      </c>
      <c r="K369" s="196" t="n">
        <f aca="false">K367-K368</f>
        <v>24</v>
      </c>
      <c r="L369" s="196" t="n">
        <f aca="false">L367-L368</f>
        <v>-28</v>
      </c>
      <c r="M369" s="196"/>
      <c r="N369" s="196"/>
      <c r="O369" s="196" t="n">
        <f aca="false">O367-O368</f>
        <v>-16</v>
      </c>
    </row>
    <row r="370" customFormat="false" ht="13.5" hidden="false" customHeight="false" outlineLevel="0" collapsed="false">
      <c r="A370" s="199"/>
      <c r="B370" s="200" t="s">
        <v>9</v>
      </c>
      <c r="C370" s="201" t="n">
        <f aca="false">C369/C368</f>
        <v>-0.152941176470588</v>
      </c>
      <c r="D370" s="201" t="n">
        <f aca="false">D369/D368</f>
        <v>0.0223880597014925</v>
      </c>
      <c r="E370" s="201" t="n">
        <f aca="false">E369/E368</f>
        <v>0.0930232558139535</v>
      </c>
      <c r="F370" s="201" t="n">
        <f aca="false">F369/F368</f>
        <v>0.225225225225225</v>
      </c>
      <c r="G370" s="201" t="n">
        <f aca="false">G369/G368</f>
        <v>-0.0357142857142857</v>
      </c>
      <c r="H370" s="201" t="n">
        <f aca="false">H369/H368</f>
        <v>-0.0365853658536585</v>
      </c>
      <c r="I370" s="201" t="n">
        <f aca="false">I369/I368</f>
        <v>-0.141935483870968</v>
      </c>
      <c r="J370" s="201" t="n">
        <f aca="false">J369/J368</f>
        <v>0.0472972972972973</v>
      </c>
      <c r="K370" s="201" t="n">
        <f aca="false">K369/K368</f>
        <v>0.171428571428571</v>
      </c>
      <c r="L370" s="201" t="n">
        <f aca="false">L369/L368</f>
        <v>-0.212121212121212</v>
      </c>
      <c r="M370" s="201"/>
      <c r="N370" s="201"/>
      <c r="O370" s="201" t="n">
        <f aca="false">O369/O368</f>
        <v>-0.011243851018974</v>
      </c>
    </row>
    <row r="371" customFormat="false" ht="12.75" hidden="false" customHeight="false" outlineLevel="0" collapsed="false">
      <c r="A371" s="198"/>
      <c r="B371" s="194" t="n">
        <v>2016</v>
      </c>
      <c r="C371" s="194" t="n">
        <v>2</v>
      </c>
      <c r="D371" s="194" t="n">
        <v>1</v>
      </c>
      <c r="E371" s="194" t="n">
        <v>1</v>
      </c>
      <c r="F371" s="194" t="n">
        <v>3</v>
      </c>
      <c r="G371" s="194" t="n">
        <v>2</v>
      </c>
      <c r="H371" s="194" t="n">
        <v>3</v>
      </c>
      <c r="I371" s="194" t="n">
        <v>1</v>
      </c>
      <c r="J371" s="194" t="n">
        <v>3</v>
      </c>
      <c r="K371" s="194" t="n">
        <v>6</v>
      </c>
      <c r="L371" s="194" t="n">
        <v>1</v>
      </c>
      <c r="M371" s="194"/>
      <c r="N371" s="194"/>
      <c r="O371" s="194" t="n">
        <f aca="false">SUM(C371:N371)</f>
        <v>23</v>
      </c>
    </row>
    <row r="372" customFormat="false" ht="12.75" hidden="false" customHeight="false" outlineLevel="0" collapsed="false">
      <c r="A372" s="195" t="s">
        <v>211</v>
      </c>
      <c r="B372" s="196" t="n">
        <v>2015</v>
      </c>
      <c r="C372" s="196" t="n">
        <v>3</v>
      </c>
      <c r="D372" s="196" t="n">
        <v>0</v>
      </c>
      <c r="E372" s="196" t="n">
        <v>4</v>
      </c>
      <c r="F372" s="196" t="n">
        <v>4</v>
      </c>
      <c r="G372" s="196" t="n">
        <v>2</v>
      </c>
      <c r="H372" s="196" t="n">
        <v>2</v>
      </c>
      <c r="I372" s="196" t="n">
        <v>1</v>
      </c>
      <c r="J372" s="196" t="n">
        <v>2</v>
      </c>
      <c r="K372" s="196" t="n">
        <v>2</v>
      </c>
      <c r="L372" s="196" t="n">
        <v>2</v>
      </c>
      <c r="M372" s="196"/>
      <c r="N372" s="196"/>
      <c r="O372" s="196" t="n">
        <f aca="false">SUM(C372:N372)</f>
        <v>22</v>
      </c>
    </row>
    <row r="373" customFormat="false" ht="12.75" hidden="false" customHeight="false" outlineLevel="0" collapsed="false">
      <c r="A373" s="195" t="s">
        <v>212</v>
      </c>
      <c r="B373" s="202" t="s">
        <v>210</v>
      </c>
      <c r="C373" s="196" t="n">
        <f aca="false">C371-C372</f>
        <v>-1</v>
      </c>
      <c r="D373" s="196" t="n">
        <f aca="false">D371-D372</f>
        <v>1</v>
      </c>
      <c r="E373" s="196" t="n">
        <f aca="false">E371-E372</f>
        <v>-3</v>
      </c>
      <c r="F373" s="196" t="n">
        <f aca="false">F371-F372</f>
        <v>-1</v>
      </c>
      <c r="G373" s="196" t="n">
        <f aca="false">G371-G372</f>
        <v>0</v>
      </c>
      <c r="H373" s="196" t="n">
        <f aca="false">H371-H372</f>
        <v>1</v>
      </c>
      <c r="I373" s="196" t="n">
        <f aca="false">I371-I372</f>
        <v>0</v>
      </c>
      <c r="J373" s="196" t="n">
        <f aca="false">J371-J372</f>
        <v>1</v>
      </c>
      <c r="K373" s="196" t="n">
        <f aca="false">K371-K372</f>
        <v>4</v>
      </c>
      <c r="L373" s="196" t="n">
        <f aca="false">L371-L372</f>
        <v>-1</v>
      </c>
      <c r="M373" s="196"/>
      <c r="N373" s="196"/>
      <c r="O373" s="196" t="n">
        <f aca="false">O371-O372</f>
        <v>1</v>
      </c>
    </row>
    <row r="374" customFormat="false" ht="13.5" hidden="false" customHeight="false" outlineLevel="0" collapsed="false">
      <c r="A374" s="199"/>
      <c r="B374" s="200" t="s">
        <v>9</v>
      </c>
      <c r="C374" s="201" t="n">
        <f aca="false">C373/C372</f>
        <v>-0.333333333333333</v>
      </c>
      <c r="D374" s="201" t="n">
        <v>0</v>
      </c>
      <c r="E374" s="201" t="n">
        <f aca="false">E373/E372</f>
        <v>-0.75</v>
      </c>
      <c r="F374" s="201" t="n">
        <f aca="false">F373/F372</f>
        <v>-0.25</v>
      </c>
      <c r="G374" s="201" t="n">
        <f aca="false">G373/G372</f>
        <v>0</v>
      </c>
      <c r="H374" s="201" t="n">
        <f aca="false">H373/H372</f>
        <v>0.5</v>
      </c>
      <c r="I374" s="201" t="n">
        <f aca="false">I373/I372</f>
        <v>0</v>
      </c>
      <c r="J374" s="201" t="n">
        <f aca="false">J373/J372</f>
        <v>0.5</v>
      </c>
      <c r="K374" s="201" t="n">
        <f aca="false">K373/K372</f>
        <v>2</v>
      </c>
      <c r="L374" s="201" t="n">
        <f aca="false">L373/L372</f>
        <v>-0.5</v>
      </c>
      <c r="M374" s="201"/>
      <c r="N374" s="201"/>
      <c r="O374" s="201" t="n">
        <f aca="false">O373/O372</f>
        <v>0.0454545454545455</v>
      </c>
    </row>
    <row r="375" customFormat="false" ht="12.75" hidden="false" customHeight="false" outlineLevel="0" collapsed="false">
      <c r="A375" s="198"/>
      <c r="B375" s="194" t="n">
        <v>2016</v>
      </c>
      <c r="C375" s="204" t="n">
        <v>0</v>
      </c>
      <c r="D375" s="204" t="n">
        <v>0</v>
      </c>
      <c r="E375" s="204" t="n">
        <v>0</v>
      </c>
      <c r="F375" s="204" t="n">
        <v>0</v>
      </c>
      <c r="G375" s="204" t="n">
        <v>3</v>
      </c>
      <c r="H375" s="204" t="n">
        <v>2</v>
      </c>
      <c r="I375" s="204" t="n">
        <v>1</v>
      </c>
      <c r="J375" s="204" t="n">
        <v>0</v>
      </c>
      <c r="K375" s="204" t="n">
        <v>0</v>
      </c>
      <c r="L375" s="204" t="n">
        <v>0</v>
      </c>
      <c r="M375" s="204"/>
      <c r="N375" s="204"/>
      <c r="O375" s="194" t="n">
        <f aca="false">SUM(C375:N375)</f>
        <v>6</v>
      </c>
    </row>
    <row r="376" customFormat="false" ht="12.75" hidden="false" customHeight="false" outlineLevel="0" collapsed="false">
      <c r="A376" s="203" t="s">
        <v>213</v>
      </c>
      <c r="B376" s="196" t="n">
        <v>2015</v>
      </c>
      <c r="C376" s="196" t="n">
        <v>1</v>
      </c>
      <c r="D376" s="196" t="n">
        <v>0</v>
      </c>
      <c r="E376" s="196" t="n">
        <v>0</v>
      </c>
      <c r="F376" s="196" t="n">
        <v>1</v>
      </c>
      <c r="G376" s="196" t="n">
        <v>0</v>
      </c>
      <c r="H376" s="196" t="n">
        <v>0</v>
      </c>
      <c r="I376" s="196" t="n">
        <v>0</v>
      </c>
      <c r="J376" s="196" t="n">
        <v>0</v>
      </c>
      <c r="K376" s="196" t="n">
        <v>2</v>
      </c>
      <c r="L376" s="196" t="n">
        <v>0</v>
      </c>
      <c r="M376" s="196"/>
      <c r="N376" s="196"/>
      <c r="O376" s="196" t="n">
        <f aca="false">SUM(C376:N376)</f>
        <v>4</v>
      </c>
    </row>
    <row r="377" customFormat="false" ht="12.75" hidden="false" customHeight="false" outlineLevel="0" collapsed="false">
      <c r="A377" s="195" t="s">
        <v>214</v>
      </c>
      <c r="B377" s="202" t="s">
        <v>210</v>
      </c>
      <c r="C377" s="196" t="n">
        <f aca="false">C375-C376</f>
        <v>-1</v>
      </c>
      <c r="D377" s="196" t="n">
        <f aca="false">D375-D376</f>
        <v>0</v>
      </c>
      <c r="E377" s="196" t="n">
        <f aca="false">E375-E376</f>
        <v>0</v>
      </c>
      <c r="F377" s="196" t="n">
        <f aca="false">F375-F376</f>
        <v>-1</v>
      </c>
      <c r="G377" s="196" t="n">
        <f aca="false">G375-G376</f>
        <v>3</v>
      </c>
      <c r="H377" s="196" t="n">
        <f aca="false">H375-H376</f>
        <v>2</v>
      </c>
      <c r="I377" s="196" t="n">
        <f aca="false">I375-I376</f>
        <v>1</v>
      </c>
      <c r="J377" s="196" t="n">
        <f aca="false">J375-J376</f>
        <v>0</v>
      </c>
      <c r="K377" s="196" t="n">
        <f aca="false">K375-K376</f>
        <v>-2</v>
      </c>
      <c r="L377" s="196" t="n">
        <f aca="false">L375-L376</f>
        <v>0</v>
      </c>
      <c r="M377" s="196"/>
      <c r="N377" s="196"/>
      <c r="O377" s="196" t="n">
        <f aca="false">O375-O376</f>
        <v>2</v>
      </c>
    </row>
    <row r="378" customFormat="false" ht="13.5" hidden="false" customHeight="false" outlineLevel="0" collapsed="false">
      <c r="A378" s="199"/>
      <c r="B378" s="200" t="s">
        <v>9</v>
      </c>
      <c r="C378" s="201" t="n">
        <f aca="false">C377/C376</f>
        <v>-1</v>
      </c>
      <c r="D378" s="201" t="n">
        <v>0</v>
      </c>
      <c r="E378" s="201" t="n">
        <v>0</v>
      </c>
      <c r="F378" s="201" t="n">
        <f aca="false">F377/F376</f>
        <v>-1</v>
      </c>
      <c r="G378" s="201" t="n">
        <v>0</v>
      </c>
      <c r="H378" s="201" t="n">
        <v>0</v>
      </c>
      <c r="I378" s="201" t="n">
        <v>0</v>
      </c>
      <c r="J378" s="201" t="n">
        <v>0</v>
      </c>
      <c r="K378" s="201" t="n">
        <f aca="false">K377/K376</f>
        <v>-1</v>
      </c>
      <c r="L378" s="201" t="n">
        <v>0</v>
      </c>
      <c r="M378" s="201"/>
      <c r="N378" s="201"/>
      <c r="O378" s="201" t="n">
        <f aca="false">O377/O376</f>
        <v>0.5</v>
      </c>
    </row>
    <row r="379" customFormat="false" ht="12.75" hidden="false" customHeight="false" outlineLevel="0" collapsed="false">
      <c r="A379" s="198"/>
      <c r="B379" s="194" t="n">
        <v>2016</v>
      </c>
      <c r="C379" s="204" t="n">
        <v>0</v>
      </c>
      <c r="D379" s="204" t="n">
        <v>0</v>
      </c>
      <c r="E379" s="204" t="n">
        <v>0</v>
      </c>
      <c r="F379" s="204" t="n">
        <v>0</v>
      </c>
      <c r="G379" s="204" t="n">
        <v>0</v>
      </c>
      <c r="H379" s="204" t="n">
        <v>0</v>
      </c>
      <c r="I379" s="204" t="n">
        <v>0</v>
      </c>
      <c r="J379" s="204" t="n">
        <v>0</v>
      </c>
      <c r="K379" s="204" t="n">
        <v>0</v>
      </c>
      <c r="L379" s="204" t="n">
        <v>0</v>
      </c>
      <c r="M379" s="204"/>
      <c r="N379" s="204"/>
      <c r="O379" s="194" t="n">
        <f aca="false">SUM(C379:N379)</f>
        <v>0</v>
      </c>
    </row>
    <row r="380" customFormat="false" ht="12.75" hidden="false" customHeight="false" outlineLevel="0" collapsed="false">
      <c r="A380" s="203" t="s">
        <v>215</v>
      </c>
      <c r="B380" s="196" t="n">
        <v>2015</v>
      </c>
      <c r="C380" s="196" t="n">
        <v>0</v>
      </c>
      <c r="D380" s="196" t="n">
        <v>0</v>
      </c>
      <c r="E380" s="196" t="n">
        <v>0</v>
      </c>
      <c r="F380" s="196" t="n">
        <v>0</v>
      </c>
      <c r="G380" s="196" t="n">
        <v>0</v>
      </c>
      <c r="H380" s="196" t="n">
        <v>0</v>
      </c>
      <c r="I380" s="196" t="n">
        <v>0</v>
      </c>
      <c r="J380" s="196" t="n">
        <v>0</v>
      </c>
      <c r="K380" s="196" t="n">
        <v>0</v>
      </c>
      <c r="L380" s="196" t="n">
        <v>0</v>
      </c>
      <c r="M380" s="196"/>
      <c r="N380" s="196"/>
      <c r="O380" s="196" t="n">
        <f aca="false">SUM(C380:N380)</f>
        <v>0</v>
      </c>
    </row>
    <row r="381" customFormat="false" ht="12.75" hidden="false" customHeight="false" outlineLevel="0" collapsed="false">
      <c r="A381" s="203" t="s">
        <v>216</v>
      </c>
      <c r="B381" s="202" t="s">
        <v>210</v>
      </c>
      <c r="C381" s="196" t="n">
        <f aca="false">C379-C380</f>
        <v>0</v>
      </c>
      <c r="D381" s="196" t="n">
        <f aca="false">D379-D380</f>
        <v>0</v>
      </c>
      <c r="E381" s="196" t="n">
        <f aca="false">E379-E380</f>
        <v>0</v>
      </c>
      <c r="F381" s="196" t="n">
        <f aca="false">F379-F380</f>
        <v>0</v>
      </c>
      <c r="G381" s="196" t="n">
        <f aca="false">G379-G380</f>
        <v>0</v>
      </c>
      <c r="H381" s="196" t="n">
        <f aca="false">H379-H380</f>
        <v>0</v>
      </c>
      <c r="I381" s="196" t="n">
        <f aca="false">I379-I380</f>
        <v>0</v>
      </c>
      <c r="J381" s="196" t="n">
        <f aca="false">J379-J380</f>
        <v>0</v>
      </c>
      <c r="K381" s="196" t="n">
        <f aca="false">K379-K380</f>
        <v>0</v>
      </c>
      <c r="L381" s="196" t="n">
        <f aca="false">L379-L380</f>
        <v>0</v>
      </c>
      <c r="M381" s="196"/>
      <c r="N381" s="196"/>
      <c r="O381" s="196" t="n">
        <f aca="false">O379-O380</f>
        <v>0</v>
      </c>
    </row>
    <row r="382" customFormat="false" ht="13.5" hidden="false" customHeight="false" outlineLevel="0" collapsed="false">
      <c r="A382" s="199"/>
      <c r="B382" s="200" t="s">
        <v>9</v>
      </c>
      <c r="C382" s="201" t="n">
        <v>0</v>
      </c>
      <c r="D382" s="201" t="n">
        <v>0</v>
      </c>
      <c r="E382" s="201" t="n">
        <v>0</v>
      </c>
      <c r="F382" s="201" t="n">
        <v>0</v>
      </c>
      <c r="G382" s="201" t="n">
        <v>0</v>
      </c>
      <c r="H382" s="201" t="n">
        <v>0</v>
      </c>
      <c r="I382" s="201" t="n">
        <v>0</v>
      </c>
      <c r="J382" s="201" t="n">
        <v>0</v>
      </c>
      <c r="K382" s="201" t="n">
        <v>0</v>
      </c>
      <c r="L382" s="201" t="n">
        <v>0</v>
      </c>
      <c r="M382" s="201"/>
      <c r="N382" s="201"/>
      <c r="O382" s="201" t="n">
        <v>0</v>
      </c>
    </row>
    <row r="383" customFormat="false" ht="12.75" hidden="false" customHeight="false" outlineLevel="0" collapsed="false">
      <c r="A383" s="198"/>
      <c r="B383" s="194" t="n">
        <v>2016</v>
      </c>
      <c r="C383" s="204" t="n">
        <v>9</v>
      </c>
      <c r="D383" s="204" t="n">
        <v>4</v>
      </c>
      <c r="E383" s="204" t="n">
        <v>10</v>
      </c>
      <c r="F383" s="204" t="n">
        <v>9</v>
      </c>
      <c r="G383" s="204" t="n">
        <v>6</v>
      </c>
      <c r="H383" s="204" t="n">
        <v>7</v>
      </c>
      <c r="I383" s="204" t="n">
        <v>2</v>
      </c>
      <c r="J383" s="204" t="n">
        <v>13</v>
      </c>
      <c r="K383" s="204" t="n">
        <v>9</v>
      </c>
      <c r="L383" s="204" t="n">
        <v>4</v>
      </c>
      <c r="M383" s="204"/>
      <c r="N383" s="204"/>
      <c r="O383" s="194" t="n">
        <f aca="false">SUM(C383:N383)</f>
        <v>73</v>
      </c>
    </row>
    <row r="384" customFormat="false" ht="12.75" hidden="false" customHeight="false" outlineLevel="0" collapsed="false">
      <c r="A384" s="195" t="s">
        <v>217</v>
      </c>
      <c r="B384" s="196" t="n">
        <v>2015</v>
      </c>
      <c r="C384" s="196" t="n">
        <v>11</v>
      </c>
      <c r="D384" s="196" t="n">
        <v>7</v>
      </c>
      <c r="E384" s="196" t="n">
        <v>3</v>
      </c>
      <c r="F384" s="196" t="n">
        <v>6</v>
      </c>
      <c r="G384" s="196" t="n">
        <v>13</v>
      </c>
      <c r="H384" s="196" t="n">
        <v>8</v>
      </c>
      <c r="I384" s="196" t="n">
        <v>18</v>
      </c>
      <c r="J384" s="196" t="n">
        <v>13</v>
      </c>
      <c r="K384" s="196" t="n">
        <v>8</v>
      </c>
      <c r="L384" s="196" t="n">
        <v>9</v>
      </c>
      <c r="M384" s="196"/>
      <c r="N384" s="196"/>
      <c r="O384" s="196" t="n">
        <f aca="false">SUM(C384:N384)</f>
        <v>96</v>
      </c>
    </row>
    <row r="385" customFormat="false" ht="12.75" hidden="false" customHeight="false" outlineLevel="0" collapsed="false">
      <c r="A385" s="198"/>
      <c r="B385" s="202" t="s">
        <v>210</v>
      </c>
      <c r="C385" s="196" t="n">
        <f aca="false">C383-C384</f>
        <v>-2</v>
      </c>
      <c r="D385" s="196" t="n">
        <f aca="false">D383-D384</f>
        <v>-3</v>
      </c>
      <c r="E385" s="196" t="n">
        <f aca="false">E383-E384</f>
        <v>7</v>
      </c>
      <c r="F385" s="196" t="n">
        <f aca="false">F383-F384</f>
        <v>3</v>
      </c>
      <c r="G385" s="196" t="n">
        <f aca="false">G383-G384</f>
        <v>-7</v>
      </c>
      <c r="H385" s="196" t="n">
        <f aca="false">H383-H384</f>
        <v>-1</v>
      </c>
      <c r="I385" s="196" t="n">
        <f aca="false">I383-I384</f>
        <v>-16</v>
      </c>
      <c r="J385" s="196" t="n">
        <f aca="false">J383-J384</f>
        <v>0</v>
      </c>
      <c r="K385" s="196" t="n">
        <f aca="false">K383-K384</f>
        <v>1</v>
      </c>
      <c r="L385" s="196" t="n">
        <f aca="false">L383-L384</f>
        <v>-5</v>
      </c>
      <c r="M385" s="196"/>
      <c r="N385" s="196"/>
      <c r="O385" s="196" t="n">
        <f aca="false">O383-O384</f>
        <v>-23</v>
      </c>
    </row>
    <row r="386" customFormat="false" ht="13.5" hidden="false" customHeight="false" outlineLevel="0" collapsed="false">
      <c r="A386" s="199"/>
      <c r="B386" s="200" t="s">
        <v>9</v>
      </c>
      <c r="C386" s="201" t="n">
        <f aca="false">C385/C384</f>
        <v>-0.181818181818182</v>
      </c>
      <c r="D386" s="201" t="n">
        <f aca="false">D385/D384</f>
        <v>-0.428571428571429</v>
      </c>
      <c r="E386" s="201" t="n">
        <f aca="false">E385/E384</f>
        <v>2.33333333333333</v>
      </c>
      <c r="F386" s="201" t="n">
        <f aca="false">F385/F384</f>
        <v>0.5</v>
      </c>
      <c r="G386" s="201" t="n">
        <f aca="false">G385/G384</f>
        <v>-0.538461538461538</v>
      </c>
      <c r="H386" s="201" t="n">
        <f aca="false">H385/H384</f>
        <v>-0.125</v>
      </c>
      <c r="I386" s="201" t="n">
        <f aca="false">I385/I384</f>
        <v>-0.888888888888889</v>
      </c>
      <c r="J386" s="201" t="n">
        <f aca="false">J385/J384</f>
        <v>0</v>
      </c>
      <c r="K386" s="201" t="n">
        <f aca="false">K385/K384</f>
        <v>0.125</v>
      </c>
      <c r="L386" s="201" t="n">
        <f aca="false">L385/L384</f>
        <v>-0.555555555555556</v>
      </c>
      <c r="M386" s="201"/>
      <c r="N386" s="201"/>
      <c r="O386" s="201" t="n">
        <f aca="false">O385/O384</f>
        <v>-0.239583333333333</v>
      </c>
    </row>
    <row r="387" customFormat="false" ht="12.75" hidden="false" customHeight="false" outlineLevel="0" collapsed="false">
      <c r="A387" s="198"/>
      <c r="B387" s="194" t="n">
        <v>2016</v>
      </c>
      <c r="C387" s="204" t="n">
        <v>17</v>
      </c>
      <c r="D387" s="204" t="n">
        <v>9</v>
      </c>
      <c r="E387" s="204" t="n">
        <v>15</v>
      </c>
      <c r="F387" s="204" t="n">
        <v>25</v>
      </c>
      <c r="G387" s="204" t="n">
        <v>31</v>
      </c>
      <c r="H387" s="204" t="n">
        <v>16</v>
      </c>
      <c r="I387" s="204" t="n">
        <v>17</v>
      </c>
      <c r="J387" s="204" t="n">
        <v>12</v>
      </c>
      <c r="K387" s="204" t="n">
        <v>26</v>
      </c>
      <c r="L387" s="204" t="n">
        <v>24</v>
      </c>
      <c r="M387" s="204"/>
      <c r="N387" s="204"/>
      <c r="O387" s="194" t="n">
        <f aca="false">SUM(C387:N387)</f>
        <v>192</v>
      </c>
    </row>
    <row r="388" customFormat="false" ht="12.75" hidden="false" customHeight="false" outlineLevel="0" collapsed="false">
      <c r="A388" s="195" t="s">
        <v>218</v>
      </c>
      <c r="B388" s="196" t="n">
        <v>2015</v>
      </c>
      <c r="C388" s="196" t="n">
        <v>23</v>
      </c>
      <c r="D388" s="196" t="n">
        <v>14</v>
      </c>
      <c r="E388" s="196" t="n">
        <v>19</v>
      </c>
      <c r="F388" s="196" t="n">
        <v>11</v>
      </c>
      <c r="G388" s="196" t="n">
        <v>13</v>
      </c>
      <c r="H388" s="196" t="n">
        <v>27</v>
      </c>
      <c r="I388" s="196" t="n">
        <v>23</v>
      </c>
      <c r="J388" s="196" t="n">
        <v>19</v>
      </c>
      <c r="K388" s="196" t="n">
        <v>31</v>
      </c>
      <c r="L388" s="196" t="n">
        <v>26</v>
      </c>
      <c r="M388" s="196"/>
      <c r="N388" s="196"/>
      <c r="O388" s="196" t="n">
        <f aca="false">SUM(C388:N388)</f>
        <v>206</v>
      </c>
    </row>
    <row r="389" customFormat="false" ht="12.75" hidden="false" customHeight="false" outlineLevel="0" collapsed="false">
      <c r="A389" s="195" t="s">
        <v>219</v>
      </c>
      <c r="B389" s="202" t="s">
        <v>210</v>
      </c>
      <c r="C389" s="196" t="n">
        <f aca="false">C387-C388</f>
        <v>-6</v>
      </c>
      <c r="D389" s="196" t="n">
        <f aca="false">D387-D388</f>
        <v>-5</v>
      </c>
      <c r="E389" s="196" t="n">
        <f aca="false">E387-E388</f>
        <v>-4</v>
      </c>
      <c r="F389" s="196" t="n">
        <f aca="false">F387-F388</f>
        <v>14</v>
      </c>
      <c r="G389" s="196" t="n">
        <f aca="false">G387-G388</f>
        <v>18</v>
      </c>
      <c r="H389" s="196" t="n">
        <f aca="false">H387-H388</f>
        <v>-11</v>
      </c>
      <c r="I389" s="196" t="n">
        <f aca="false">I387-I388</f>
        <v>-6</v>
      </c>
      <c r="J389" s="196" t="n">
        <f aca="false">J387-J388</f>
        <v>-7</v>
      </c>
      <c r="K389" s="196" t="n">
        <f aca="false">K387-K388</f>
        <v>-5</v>
      </c>
      <c r="L389" s="196" t="n">
        <f aca="false">L387-L388</f>
        <v>-2</v>
      </c>
      <c r="M389" s="196"/>
      <c r="N389" s="196"/>
      <c r="O389" s="196" t="n">
        <f aca="false">O387-O388</f>
        <v>-14</v>
      </c>
    </row>
    <row r="390" customFormat="false" ht="13.5" hidden="false" customHeight="false" outlineLevel="0" collapsed="false">
      <c r="A390" s="199" t="s">
        <v>2</v>
      </c>
      <c r="B390" s="200" t="s">
        <v>9</v>
      </c>
      <c r="C390" s="201" t="n">
        <f aca="false">C389/C388</f>
        <v>-0.260869565217391</v>
      </c>
      <c r="D390" s="201" t="n">
        <f aca="false">D389/D388</f>
        <v>-0.357142857142857</v>
      </c>
      <c r="E390" s="201" t="n">
        <f aca="false">E389/E388</f>
        <v>-0.210526315789474</v>
      </c>
      <c r="F390" s="201" t="n">
        <f aca="false">F389/F388</f>
        <v>1.27272727272727</v>
      </c>
      <c r="G390" s="201" t="n">
        <f aca="false">G389/G388</f>
        <v>1.38461538461538</v>
      </c>
      <c r="H390" s="201" t="n">
        <f aca="false">H389/H388</f>
        <v>-0.407407407407407</v>
      </c>
      <c r="I390" s="201" t="n">
        <f aca="false">I389/I388</f>
        <v>-0.260869565217391</v>
      </c>
      <c r="J390" s="201" t="n">
        <f aca="false">J389/J388</f>
        <v>-0.368421052631579</v>
      </c>
      <c r="K390" s="201" t="n">
        <f aca="false">K389/K388</f>
        <v>-0.161290322580645</v>
      </c>
      <c r="L390" s="201" t="n">
        <f aca="false">L389/L388</f>
        <v>-0.0769230769230769</v>
      </c>
      <c r="M390" s="201"/>
      <c r="N390" s="201"/>
      <c r="O390" s="201" t="n">
        <f aca="false">O389/O388</f>
        <v>-0.0679611650485437</v>
      </c>
    </row>
    <row r="391" customFormat="false" ht="12.75" hidden="false" customHeight="false" outlineLevel="0" collapsed="false">
      <c r="A391" s="198"/>
      <c r="B391" s="194" t="n">
        <v>2016</v>
      </c>
      <c r="C391" s="204" t="n">
        <v>42</v>
      </c>
      <c r="D391" s="204" t="n">
        <v>34</v>
      </c>
      <c r="E391" s="204" t="n">
        <v>49</v>
      </c>
      <c r="F391" s="204" t="n">
        <v>25</v>
      </c>
      <c r="G391" s="204" t="n">
        <v>17</v>
      </c>
      <c r="H391" s="204" t="n">
        <v>26</v>
      </c>
      <c r="I391" s="204" t="n">
        <v>22</v>
      </c>
      <c r="J391" s="204" t="n">
        <v>41</v>
      </c>
      <c r="K391" s="204" t="n">
        <v>23</v>
      </c>
      <c r="L391" s="204" t="n">
        <v>18</v>
      </c>
      <c r="M391" s="204"/>
      <c r="N391" s="204"/>
      <c r="O391" s="194" t="n">
        <f aca="false">SUM(C391:N391)</f>
        <v>297</v>
      </c>
    </row>
    <row r="392" customFormat="false" ht="12.75" hidden="false" customHeight="false" outlineLevel="0" collapsed="false">
      <c r="A392" s="195" t="s">
        <v>220</v>
      </c>
      <c r="B392" s="196" t="n">
        <v>2015</v>
      </c>
      <c r="C392" s="196" t="n">
        <v>26</v>
      </c>
      <c r="D392" s="196" t="n">
        <v>21</v>
      </c>
      <c r="E392" s="196" t="n">
        <v>23</v>
      </c>
      <c r="F392" s="196" t="n">
        <v>22</v>
      </c>
      <c r="G392" s="196" t="n">
        <v>19</v>
      </c>
      <c r="H392" s="196" t="n">
        <v>29</v>
      </c>
      <c r="I392" s="196" t="n">
        <v>30</v>
      </c>
      <c r="J392" s="196" t="n">
        <v>30</v>
      </c>
      <c r="K392" s="196" t="n">
        <v>22</v>
      </c>
      <c r="L392" s="196" t="n">
        <v>24</v>
      </c>
      <c r="M392" s="196"/>
      <c r="N392" s="196"/>
      <c r="O392" s="196" t="n">
        <f aca="false">SUM(C392:N392)</f>
        <v>246</v>
      </c>
    </row>
    <row r="393" customFormat="false" ht="12.75" hidden="false" customHeight="false" outlineLevel="0" collapsed="false">
      <c r="A393" s="198"/>
      <c r="B393" s="202" t="s">
        <v>210</v>
      </c>
      <c r="C393" s="196" t="n">
        <f aca="false">C391-C392</f>
        <v>16</v>
      </c>
      <c r="D393" s="196" t="n">
        <f aca="false">D391-D392</f>
        <v>13</v>
      </c>
      <c r="E393" s="196" t="n">
        <f aca="false">E391-E392</f>
        <v>26</v>
      </c>
      <c r="F393" s="196" t="n">
        <f aca="false">F391-F392</f>
        <v>3</v>
      </c>
      <c r="G393" s="196" t="n">
        <f aca="false">G391-G392</f>
        <v>-2</v>
      </c>
      <c r="H393" s="196" t="n">
        <f aca="false">H391-H392</f>
        <v>-3</v>
      </c>
      <c r="I393" s="196" t="n">
        <f aca="false">I391-I392</f>
        <v>-8</v>
      </c>
      <c r="J393" s="196" t="n">
        <f aca="false">J391-J392</f>
        <v>11</v>
      </c>
      <c r="K393" s="196" t="n">
        <f aca="false">K391-K392</f>
        <v>1</v>
      </c>
      <c r="L393" s="196" t="n">
        <f aca="false">L391-L392</f>
        <v>-6</v>
      </c>
      <c r="M393" s="196"/>
      <c r="N393" s="196"/>
      <c r="O393" s="196" t="n">
        <f aca="false">O391-O392</f>
        <v>51</v>
      </c>
    </row>
    <row r="394" customFormat="false" ht="13.5" hidden="false" customHeight="false" outlineLevel="0" collapsed="false">
      <c r="A394" s="199"/>
      <c r="B394" s="200" t="s">
        <v>9</v>
      </c>
      <c r="C394" s="201" t="n">
        <f aca="false">C393/C392</f>
        <v>0.615384615384615</v>
      </c>
      <c r="D394" s="201" t="n">
        <f aca="false">D393/D392</f>
        <v>0.619047619047619</v>
      </c>
      <c r="E394" s="201" t="n">
        <f aca="false">E393/E392</f>
        <v>1.1304347826087</v>
      </c>
      <c r="F394" s="201" t="n">
        <f aca="false">F393/F392</f>
        <v>0.136363636363636</v>
      </c>
      <c r="G394" s="201" t="n">
        <f aca="false">G393/G392</f>
        <v>-0.105263157894737</v>
      </c>
      <c r="H394" s="201" t="n">
        <f aca="false">H393/H392</f>
        <v>-0.103448275862069</v>
      </c>
      <c r="I394" s="201" t="n">
        <f aca="false">I393/I392</f>
        <v>-0.266666666666667</v>
      </c>
      <c r="J394" s="201" t="n">
        <f aca="false">J393/J392</f>
        <v>0.366666666666667</v>
      </c>
      <c r="K394" s="201" t="n">
        <f aca="false">K393/K392</f>
        <v>0.0454545454545455</v>
      </c>
      <c r="L394" s="201" t="n">
        <f aca="false">L393/L392</f>
        <v>-0.25</v>
      </c>
      <c r="M394" s="201"/>
      <c r="N394" s="201"/>
      <c r="O394" s="201" t="n">
        <f aca="false">O393/O392</f>
        <v>0.207317073170732</v>
      </c>
    </row>
    <row r="395" customFormat="false" ht="12.75" hidden="false" customHeight="false" outlineLevel="0" collapsed="false">
      <c r="A395" s="198"/>
      <c r="B395" s="194" t="n">
        <v>2016</v>
      </c>
      <c r="C395" s="204" t="n">
        <v>69</v>
      </c>
      <c r="D395" s="204" t="n">
        <v>80</v>
      </c>
      <c r="E395" s="204" t="n">
        <v>60</v>
      </c>
      <c r="F395" s="204" t="n">
        <v>70</v>
      </c>
      <c r="G395" s="204" t="n">
        <v>70</v>
      </c>
      <c r="H395" s="204" t="n">
        <v>98</v>
      </c>
      <c r="I395" s="204" t="n">
        <v>85</v>
      </c>
      <c r="J395" s="204" t="n">
        <v>80</v>
      </c>
      <c r="K395" s="204" t="n">
        <v>95</v>
      </c>
      <c r="L395" s="204" t="n">
        <v>53</v>
      </c>
      <c r="M395" s="204"/>
      <c r="N395" s="204"/>
      <c r="O395" s="194" t="n">
        <f aca="false">SUM(C395:N395)</f>
        <v>760</v>
      </c>
    </row>
    <row r="396" customFormat="false" ht="12.75" hidden="false" customHeight="false" outlineLevel="0" collapsed="false">
      <c r="A396" s="195" t="s">
        <v>221</v>
      </c>
      <c r="B396" s="196" t="n">
        <v>2015</v>
      </c>
      <c r="C396" s="196" t="n">
        <v>94</v>
      </c>
      <c r="D396" s="196" t="n">
        <v>77</v>
      </c>
      <c r="E396" s="196" t="n">
        <v>70</v>
      </c>
      <c r="F396" s="196" t="n">
        <v>65</v>
      </c>
      <c r="G396" s="196" t="n">
        <v>90</v>
      </c>
      <c r="H396" s="196" t="n">
        <v>84</v>
      </c>
      <c r="I396" s="196" t="n">
        <v>74</v>
      </c>
      <c r="J396" s="196" t="n">
        <v>80</v>
      </c>
      <c r="K396" s="196" t="n">
        <v>68</v>
      </c>
      <c r="L396" s="196" t="n">
        <v>64</v>
      </c>
      <c r="M396" s="196"/>
      <c r="N396" s="196"/>
      <c r="O396" s="196" t="n">
        <f aca="false">SUM(C396:N396)</f>
        <v>766</v>
      </c>
    </row>
    <row r="397" customFormat="false" ht="12.75" hidden="false" customHeight="false" outlineLevel="0" collapsed="false">
      <c r="A397" s="195" t="s">
        <v>222</v>
      </c>
      <c r="B397" s="202" t="s">
        <v>210</v>
      </c>
      <c r="C397" s="196" t="n">
        <f aca="false">C395-C396</f>
        <v>-25</v>
      </c>
      <c r="D397" s="196" t="n">
        <f aca="false">D395-D396</f>
        <v>3</v>
      </c>
      <c r="E397" s="196" t="n">
        <f aca="false">E395-E396</f>
        <v>-10</v>
      </c>
      <c r="F397" s="196" t="n">
        <f aca="false">F395-F396</f>
        <v>5</v>
      </c>
      <c r="G397" s="196" t="n">
        <f aca="false">G395-G396</f>
        <v>-20</v>
      </c>
      <c r="H397" s="196" t="n">
        <f aca="false">H395-H396</f>
        <v>14</v>
      </c>
      <c r="I397" s="196" t="n">
        <f aca="false">I395-I396</f>
        <v>11</v>
      </c>
      <c r="J397" s="196" t="n">
        <f aca="false">J395-J396</f>
        <v>0</v>
      </c>
      <c r="K397" s="196" t="n">
        <f aca="false">K395-K396</f>
        <v>27</v>
      </c>
      <c r="L397" s="196" t="n">
        <f aca="false">L395-L396</f>
        <v>-11</v>
      </c>
      <c r="M397" s="196"/>
      <c r="N397" s="196"/>
      <c r="O397" s="196" t="n">
        <f aca="false">O395-O396</f>
        <v>-6</v>
      </c>
    </row>
    <row r="398" customFormat="false" ht="13.5" hidden="false" customHeight="false" outlineLevel="0" collapsed="false">
      <c r="A398" s="199"/>
      <c r="B398" s="200" t="s">
        <v>9</v>
      </c>
      <c r="C398" s="201" t="n">
        <f aca="false">C397/C396</f>
        <v>-0.265957446808511</v>
      </c>
      <c r="D398" s="201" t="n">
        <f aca="false">D397/D396</f>
        <v>0.038961038961039</v>
      </c>
      <c r="E398" s="201" t="n">
        <f aca="false">E397/E396</f>
        <v>-0.142857142857143</v>
      </c>
      <c r="F398" s="201" t="n">
        <f aca="false">F397/F396</f>
        <v>0.0769230769230769</v>
      </c>
      <c r="G398" s="201" t="n">
        <f aca="false">G397/G396</f>
        <v>-0.222222222222222</v>
      </c>
      <c r="H398" s="201" t="n">
        <f aca="false">H397/H396</f>
        <v>0.166666666666667</v>
      </c>
      <c r="I398" s="201" t="n">
        <f aca="false">I397/I396</f>
        <v>0.148648648648649</v>
      </c>
      <c r="J398" s="201" t="n">
        <f aca="false">J397/J396</f>
        <v>0</v>
      </c>
      <c r="K398" s="201" t="n">
        <f aca="false">K397/K396</f>
        <v>0.397058823529412</v>
      </c>
      <c r="L398" s="201" t="n">
        <f aca="false">L397/L396</f>
        <v>-0.171875</v>
      </c>
      <c r="M398" s="201"/>
      <c r="N398" s="201"/>
      <c r="O398" s="201" t="n">
        <f aca="false">O397/O396</f>
        <v>-0.00783289817232376</v>
      </c>
    </row>
    <row r="399" customFormat="false" ht="12.75" hidden="false" customHeight="false" outlineLevel="0" collapsed="false">
      <c r="A399" s="198"/>
      <c r="B399" s="194" t="n">
        <v>2016</v>
      </c>
      <c r="C399" s="204" t="n">
        <v>5</v>
      </c>
      <c r="D399" s="204" t="n">
        <v>9</v>
      </c>
      <c r="E399" s="204" t="n">
        <v>6</v>
      </c>
      <c r="F399" s="204" t="n">
        <v>4</v>
      </c>
      <c r="G399" s="204" t="n">
        <v>6</v>
      </c>
      <c r="H399" s="204" t="n">
        <v>6</v>
      </c>
      <c r="I399" s="204" t="n">
        <v>5</v>
      </c>
      <c r="J399" s="204" t="n">
        <v>6</v>
      </c>
      <c r="K399" s="204" t="n">
        <v>5</v>
      </c>
      <c r="L399" s="204" t="n">
        <v>4</v>
      </c>
      <c r="M399" s="204"/>
      <c r="N399" s="204"/>
      <c r="O399" s="194" t="n">
        <f aca="false">SUM(C399:N399)</f>
        <v>56</v>
      </c>
    </row>
    <row r="400" customFormat="false" ht="12.75" hidden="false" customHeight="false" outlineLevel="0" collapsed="false">
      <c r="A400" s="195" t="s">
        <v>223</v>
      </c>
      <c r="B400" s="196" t="n">
        <v>2015</v>
      </c>
      <c r="C400" s="196" t="n">
        <v>12</v>
      </c>
      <c r="D400" s="196" t="n">
        <v>15</v>
      </c>
      <c r="E400" s="196" t="n">
        <v>10</v>
      </c>
      <c r="F400" s="196" t="n">
        <v>2</v>
      </c>
      <c r="G400" s="196" t="n">
        <v>3</v>
      </c>
      <c r="H400" s="196" t="n">
        <v>14</v>
      </c>
      <c r="I400" s="196" t="n">
        <v>9</v>
      </c>
      <c r="J400" s="196" t="n">
        <v>4</v>
      </c>
      <c r="K400" s="196" t="n">
        <v>7</v>
      </c>
      <c r="L400" s="196" t="n">
        <v>7</v>
      </c>
      <c r="M400" s="196"/>
      <c r="N400" s="196"/>
      <c r="O400" s="196" t="n">
        <f aca="false">SUM(C400:N400)</f>
        <v>83</v>
      </c>
    </row>
    <row r="401" customFormat="false" ht="12.75" hidden="false" customHeight="false" outlineLevel="0" collapsed="false">
      <c r="A401" s="195" t="s">
        <v>224</v>
      </c>
      <c r="B401" s="202" t="s">
        <v>210</v>
      </c>
      <c r="C401" s="196" t="n">
        <f aca="false">C399-C400</f>
        <v>-7</v>
      </c>
      <c r="D401" s="196" t="n">
        <f aca="false">D399-D400</f>
        <v>-6</v>
      </c>
      <c r="E401" s="196" t="n">
        <f aca="false">E399-E400</f>
        <v>-4</v>
      </c>
      <c r="F401" s="196" t="n">
        <f aca="false">F399-F400</f>
        <v>2</v>
      </c>
      <c r="G401" s="196" t="n">
        <f aca="false">G399-G400</f>
        <v>3</v>
      </c>
      <c r="H401" s="196" t="n">
        <f aca="false">H399-H400</f>
        <v>-8</v>
      </c>
      <c r="I401" s="196" t="n">
        <f aca="false">I399-I400</f>
        <v>-4</v>
      </c>
      <c r="J401" s="196" t="n">
        <f aca="false">J399-J400</f>
        <v>2</v>
      </c>
      <c r="K401" s="196" t="n">
        <f aca="false">K399-K400</f>
        <v>-2</v>
      </c>
      <c r="L401" s="196" t="n">
        <f aca="false">L399-L400</f>
        <v>-3</v>
      </c>
      <c r="M401" s="196"/>
      <c r="N401" s="196"/>
      <c r="O401" s="196" t="n">
        <f aca="false">O399-O400</f>
        <v>-27</v>
      </c>
    </row>
    <row r="402" customFormat="false" ht="13.5" hidden="false" customHeight="false" outlineLevel="0" collapsed="false">
      <c r="A402" s="199"/>
      <c r="B402" s="200" t="s">
        <v>9</v>
      </c>
      <c r="C402" s="201" t="n">
        <f aca="false">C401/C400</f>
        <v>-0.583333333333333</v>
      </c>
      <c r="D402" s="201" t="n">
        <f aca="false">D401/D400</f>
        <v>-0.4</v>
      </c>
      <c r="E402" s="201" t="n">
        <f aca="false">E401/E400</f>
        <v>-0.4</v>
      </c>
      <c r="F402" s="201" t="n">
        <f aca="false">F401/F400</f>
        <v>1</v>
      </c>
      <c r="G402" s="201" t="n">
        <f aca="false">G401/G400</f>
        <v>1</v>
      </c>
      <c r="H402" s="201" t="n">
        <f aca="false">H401/H400</f>
        <v>-0.571428571428571</v>
      </c>
      <c r="I402" s="201" t="n">
        <f aca="false">I401/I400</f>
        <v>-0.444444444444444</v>
      </c>
      <c r="J402" s="201" t="n">
        <f aca="false">J401/J400</f>
        <v>0.5</v>
      </c>
      <c r="K402" s="201" t="n">
        <f aca="false">K401/K400</f>
        <v>-0.285714285714286</v>
      </c>
      <c r="L402" s="201" t="n">
        <f aca="false">L401/L400</f>
        <v>-0.428571428571429</v>
      </c>
      <c r="M402" s="201"/>
      <c r="N402" s="201"/>
      <c r="O402" s="201" t="n">
        <f aca="false">O401/O400</f>
        <v>-0.325301204819277</v>
      </c>
    </row>
    <row r="405" customFormat="false" ht="13.5" hidden="false" customHeight="false" outlineLevel="0" collapsed="false">
      <c r="A405" s="210" t="s">
        <v>163</v>
      </c>
      <c r="B405" s="209"/>
      <c r="C405" s="209"/>
    </row>
    <row r="406" customFormat="false" ht="13.5" hidden="false" customHeight="false" outlineLevel="0" collapsed="false">
      <c r="A406" s="0" t="s">
        <v>2</v>
      </c>
      <c r="B406" s="192" t="s">
        <v>196</v>
      </c>
      <c r="C406" s="192" t="s">
        <v>197</v>
      </c>
      <c r="D406" s="192" t="s">
        <v>198</v>
      </c>
      <c r="E406" s="192" t="s">
        <v>199</v>
      </c>
      <c r="F406" s="192" t="s">
        <v>200</v>
      </c>
      <c r="G406" s="192" t="s">
        <v>201</v>
      </c>
      <c r="H406" s="192" t="s">
        <v>202</v>
      </c>
      <c r="I406" s="192" t="s">
        <v>203</v>
      </c>
      <c r="J406" s="192" t="s">
        <v>204</v>
      </c>
      <c r="K406" s="192" t="s">
        <v>205</v>
      </c>
      <c r="L406" s="192" t="s">
        <v>206</v>
      </c>
      <c r="M406" s="192" t="s">
        <v>207</v>
      </c>
      <c r="N406" s="192" t="s">
        <v>208</v>
      </c>
      <c r="O406" s="192" t="s">
        <v>52</v>
      </c>
    </row>
    <row r="407" customFormat="false" ht="12.75" hidden="false" customHeight="false" outlineLevel="0" collapsed="false">
      <c r="A407" s="193"/>
      <c r="B407" s="194" t="n">
        <v>2016</v>
      </c>
      <c r="C407" s="194" t="n">
        <f aca="false">SUM(C411+C415+C423+C427+C431+C435+C439)</f>
        <v>156</v>
      </c>
      <c r="D407" s="194" t="n">
        <f aca="false">SUM(D411+D415+D423+D427+D431+D435+D439)</f>
        <v>175</v>
      </c>
      <c r="E407" s="194" t="n">
        <f aca="false">SUM(E411+E415+E423+E427+E431+E435+E439)</f>
        <v>161</v>
      </c>
      <c r="F407" s="194" t="n">
        <f aca="false">SUM(F411+F415+F423+F427+F431+F435+F439)</f>
        <v>189</v>
      </c>
      <c r="G407" s="194" t="n">
        <f aca="false">SUM(G411+G415+G423+G427+G431+G435+G439)</f>
        <v>167</v>
      </c>
      <c r="H407" s="194" t="n">
        <f aca="false">SUM(H411+H415+H423+H427+H431+H435+H439)</f>
        <v>127</v>
      </c>
      <c r="I407" s="194" t="n">
        <f aca="false">SUM(I411+I415+I423+I427+I431+I435+I439)</f>
        <v>160</v>
      </c>
      <c r="J407" s="194" t="n">
        <f aca="false">SUM(J411+J415+J423+J427+J431+J435+J439)</f>
        <v>117</v>
      </c>
      <c r="K407" s="194" t="n">
        <f aca="false">SUM(K411+K415+K423+K427+K431+K435+K439)</f>
        <v>121</v>
      </c>
      <c r="L407" s="194" t="n">
        <f aca="false">SUM(L411+L415+L423+L427+L431+L435+L439)</f>
        <v>148</v>
      </c>
      <c r="M407" s="194"/>
      <c r="N407" s="194"/>
      <c r="O407" s="194" t="n">
        <f aca="false">SUM(O411+O415+O423+O427+O431+O435+O439)</f>
        <v>1521</v>
      </c>
    </row>
    <row r="408" customFormat="false" ht="12.75" hidden="false" customHeight="false" outlineLevel="0" collapsed="false">
      <c r="A408" s="195" t="s">
        <v>52</v>
      </c>
      <c r="B408" s="196" t="n">
        <v>2015</v>
      </c>
      <c r="C408" s="196" t="n">
        <f aca="false">SUM(C412+C416+C420+C424+C428+C432+C436+C440)</f>
        <v>225</v>
      </c>
      <c r="D408" s="196" t="n">
        <f aca="false">SUM(D412+D416+D420+D424+D428+D432+D436+D440)</f>
        <v>131</v>
      </c>
      <c r="E408" s="196" t="n">
        <f aca="false">SUM(E412+E416+E420+E424+E428+E432+E436+E440)</f>
        <v>166</v>
      </c>
      <c r="F408" s="196" t="n">
        <f aca="false">SUM(F412+F416+F420+F424+F428+F432+F436+F440)</f>
        <v>137</v>
      </c>
      <c r="G408" s="196" t="n">
        <f aca="false">SUM(G412+G416+G420+G424+G428+G432+G436+G440)</f>
        <v>146</v>
      </c>
      <c r="H408" s="196" t="n">
        <f aca="false">SUM(H412+H416+H420+H424+H428+H432+H436+H440)</f>
        <v>175</v>
      </c>
      <c r="I408" s="196" t="n">
        <f aca="false">SUM(I412+I416+I420+I424+I428+I432+I436+I440)</f>
        <v>168</v>
      </c>
      <c r="J408" s="196" t="n">
        <f aca="false">SUM(J412+J416+J420+J424+J428+J432+J436+J440)</f>
        <v>152</v>
      </c>
      <c r="K408" s="196" t="n">
        <f aca="false">SUM(K412+K416+K420+K424+K428+K432+K436+K440)</f>
        <v>195</v>
      </c>
      <c r="L408" s="196" t="n">
        <f aca="false">SUM(L412+L416+L420+L424+L428+L432+L436+L440)</f>
        <v>176</v>
      </c>
      <c r="M408" s="196"/>
      <c r="N408" s="196"/>
      <c r="O408" s="196" t="n">
        <f aca="false">SUM(C408:N408)</f>
        <v>1671</v>
      </c>
    </row>
    <row r="409" customFormat="false" ht="12.75" hidden="false" customHeight="false" outlineLevel="0" collapsed="false">
      <c r="A409" s="195" t="s">
        <v>209</v>
      </c>
      <c r="B409" s="197" t="s">
        <v>210</v>
      </c>
      <c r="C409" s="196" t="n">
        <f aca="false">C407-C408</f>
        <v>-69</v>
      </c>
      <c r="D409" s="196" t="n">
        <f aca="false">D407-D408</f>
        <v>44</v>
      </c>
      <c r="E409" s="196" t="n">
        <f aca="false">E407-E408</f>
        <v>-5</v>
      </c>
      <c r="F409" s="196" t="n">
        <f aca="false">F407-F408</f>
        <v>52</v>
      </c>
      <c r="G409" s="196" t="n">
        <f aca="false">G407-G408</f>
        <v>21</v>
      </c>
      <c r="H409" s="196" t="n">
        <f aca="false">H407-H408</f>
        <v>-48</v>
      </c>
      <c r="I409" s="196" t="n">
        <f aca="false">I407-I408</f>
        <v>-8</v>
      </c>
      <c r="J409" s="196" t="n">
        <f aca="false">J407-J408</f>
        <v>-35</v>
      </c>
      <c r="K409" s="196" t="n">
        <f aca="false">K407-K408</f>
        <v>-74</v>
      </c>
      <c r="L409" s="196" t="n">
        <f aca="false">L407-L408</f>
        <v>-28</v>
      </c>
      <c r="M409" s="196"/>
      <c r="N409" s="196"/>
      <c r="O409" s="196" t="n">
        <f aca="false">O407-O408</f>
        <v>-150</v>
      </c>
    </row>
    <row r="410" customFormat="false" ht="13.5" hidden="false" customHeight="false" outlineLevel="0" collapsed="false">
      <c r="A410" s="199"/>
      <c r="B410" s="200" t="s">
        <v>9</v>
      </c>
      <c r="C410" s="201" t="n">
        <f aca="false">C409/C408</f>
        <v>-0.306666666666667</v>
      </c>
      <c r="D410" s="201" t="n">
        <f aca="false">D409/D408</f>
        <v>0.33587786259542</v>
      </c>
      <c r="E410" s="201" t="n">
        <f aca="false">E409/E408</f>
        <v>-0.0301204819277108</v>
      </c>
      <c r="F410" s="201" t="n">
        <f aca="false">F409/F408</f>
        <v>0.37956204379562</v>
      </c>
      <c r="G410" s="201" t="n">
        <f aca="false">G409/G408</f>
        <v>0.143835616438356</v>
      </c>
      <c r="H410" s="201" t="n">
        <f aca="false">H409/H408</f>
        <v>-0.274285714285714</v>
      </c>
      <c r="I410" s="201" t="n">
        <f aca="false">I409/I408</f>
        <v>-0.0476190476190476</v>
      </c>
      <c r="J410" s="201" t="n">
        <f aca="false">J409/J408</f>
        <v>-0.230263157894737</v>
      </c>
      <c r="K410" s="201" t="n">
        <f aca="false">K409/K408</f>
        <v>-0.379487179487179</v>
      </c>
      <c r="L410" s="201" t="n">
        <f aca="false">L409/L408</f>
        <v>-0.159090909090909</v>
      </c>
      <c r="M410" s="201"/>
      <c r="N410" s="201"/>
      <c r="O410" s="201" t="n">
        <f aca="false">O409/O408</f>
        <v>-0.0897666068222621</v>
      </c>
    </row>
    <row r="411" customFormat="false" ht="12.75" hidden="false" customHeight="false" outlineLevel="0" collapsed="false">
      <c r="A411" s="198"/>
      <c r="B411" s="194" t="n">
        <v>2016</v>
      </c>
      <c r="C411" s="194" t="n">
        <v>1</v>
      </c>
      <c r="D411" s="194" t="n">
        <v>4</v>
      </c>
      <c r="E411" s="194" t="n">
        <v>2</v>
      </c>
      <c r="F411" s="194" t="n">
        <v>0</v>
      </c>
      <c r="G411" s="194" t="n">
        <v>0</v>
      </c>
      <c r="H411" s="194" t="n">
        <v>2</v>
      </c>
      <c r="I411" s="194" t="n">
        <v>0</v>
      </c>
      <c r="J411" s="194" t="n">
        <v>1</v>
      </c>
      <c r="K411" s="194" t="n">
        <v>3</v>
      </c>
      <c r="L411" s="194" t="n">
        <v>5</v>
      </c>
      <c r="M411" s="194"/>
      <c r="N411" s="194"/>
      <c r="O411" s="194" t="n">
        <f aca="false">SUM(C411:N411)</f>
        <v>18</v>
      </c>
    </row>
    <row r="412" customFormat="false" ht="12.75" hidden="false" customHeight="false" outlineLevel="0" collapsed="false">
      <c r="A412" s="195" t="s">
        <v>211</v>
      </c>
      <c r="B412" s="196" t="n">
        <v>2015</v>
      </c>
      <c r="C412" s="196" t="n">
        <v>3</v>
      </c>
      <c r="D412" s="196" t="n">
        <v>0</v>
      </c>
      <c r="E412" s="196" t="n">
        <v>0</v>
      </c>
      <c r="F412" s="196" t="n">
        <v>1</v>
      </c>
      <c r="G412" s="196" t="n">
        <v>1</v>
      </c>
      <c r="H412" s="196" t="n">
        <v>0</v>
      </c>
      <c r="I412" s="196" t="n">
        <v>0</v>
      </c>
      <c r="J412" s="196" t="n">
        <v>1</v>
      </c>
      <c r="K412" s="196" t="n">
        <v>1</v>
      </c>
      <c r="L412" s="196" t="n">
        <v>1</v>
      </c>
      <c r="M412" s="196"/>
      <c r="N412" s="196"/>
      <c r="O412" s="196" t="n">
        <f aca="false">SUM(C412:N412)</f>
        <v>8</v>
      </c>
    </row>
    <row r="413" customFormat="false" ht="12.75" hidden="false" customHeight="false" outlineLevel="0" collapsed="false">
      <c r="A413" s="195" t="s">
        <v>212</v>
      </c>
      <c r="B413" s="202" t="s">
        <v>210</v>
      </c>
      <c r="C413" s="196" t="n">
        <f aca="false">C411-C412</f>
        <v>-2</v>
      </c>
      <c r="D413" s="196" t="n">
        <f aca="false">D411-D412</f>
        <v>4</v>
      </c>
      <c r="E413" s="196" t="n">
        <f aca="false">E411-E412</f>
        <v>2</v>
      </c>
      <c r="F413" s="196" t="n">
        <f aca="false">F411-F412</f>
        <v>-1</v>
      </c>
      <c r="G413" s="196" t="n">
        <f aca="false">G411-G412</f>
        <v>-1</v>
      </c>
      <c r="H413" s="196" t="n">
        <f aca="false">H411-H412</f>
        <v>2</v>
      </c>
      <c r="I413" s="196" t="n">
        <f aca="false">I411-I412</f>
        <v>0</v>
      </c>
      <c r="J413" s="196" t="n">
        <f aca="false">J411-J412</f>
        <v>0</v>
      </c>
      <c r="K413" s="196" t="n">
        <f aca="false">K411-K412</f>
        <v>2</v>
      </c>
      <c r="L413" s="196" t="n">
        <f aca="false">L411-L412</f>
        <v>4</v>
      </c>
      <c r="M413" s="196"/>
      <c r="N413" s="196"/>
      <c r="O413" s="196" t="n">
        <f aca="false">O411-O412</f>
        <v>10</v>
      </c>
    </row>
    <row r="414" customFormat="false" ht="13.5" hidden="false" customHeight="false" outlineLevel="0" collapsed="false">
      <c r="A414" s="199"/>
      <c r="B414" s="200" t="s">
        <v>9</v>
      </c>
      <c r="C414" s="201" t="n">
        <f aca="false">C413/C412</f>
        <v>-0.666666666666667</v>
      </c>
      <c r="D414" s="201" t="n">
        <v>0</v>
      </c>
      <c r="E414" s="201" t="n">
        <v>0</v>
      </c>
      <c r="F414" s="201" t="n">
        <f aca="false">F413/F412</f>
        <v>-1</v>
      </c>
      <c r="G414" s="201" t="n">
        <f aca="false">G413/G412</f>
        <v>-1</v>
      </c>
      <c r="H414" s="201" t="n">
        <v>0</v>
      </c>
      <c r="I414" s="201" t="n">
        <v>0</v>
      </c>
      <c r="J414" s="201" t="n">
        <f aca="false">J413/J412</f>
        <v>0</v>
      </c>
      <c r="K414" s="201" t="n">
        <f aca="false">K413/K412</f>
        <v>2</v>
      </c>
      <c r="L414" s="201" t="n">
        <f aca="false">L413/L412</f>
        <v>4</v>
      </c>
      <c r="M414" s="201"/>
      <c r="N414" s="201"/>
      <c r="O414" s="201" t="n">
        <f aca="false">O413/O412</f>
        <v>1.25</v>
      </c>
    </row>
    <row r="415" customFormat="false" ht="12.75" hidden="false" customHeight="false" outlineLevel="0" collapsed="false">
      <c r="A415" s="198"/>
      <c r="B415" s="194" t="n">
        <v>2016</v>
      </c>
      <c r="C415" s="204" t="n">
        <v>1</v>
      </c>
      <c r="D415" s="204" t="n">
        <v>0</v>
      </c>
      <c r="E415" s="204" t="n">
        <v>0</v>
      </c>
      <c r="F415" s="204" t="n">
        <v>0</v>
      </c>
      <c r="G415" s="204" t="n">
        <v>1</v>
      </c>
      <c r="H415" s="204" t="n">
        <v>0</v>
      </c>
      <c r="I415" s="204" t="n">
        <v>0</v>
      </c>
      <c r="J415" s="204" t="n">
        <v>0</v>
      </c>
      <c r="K415" s="204" t="n">
        <v>0</v>
      </c>
      <c r="L415" s="204" t="n">
        <v>2</v>
      </c>
      <c r="M415" s="204"/>
      <c r="N415" s="204"/>
      <c r="O415" s="194" t="n">
        <f aca="false">SUM(C415:N415)</f>
        <v>4</v>
      </c>
    </row>
    <row r="416" customFormat="false" ht="12.75" hidden="false" customHeight="false" outlineLevel="0" collapsed="false">
      <c r="A416" s="203" t="s">
        <v>213</v>
      </c>
      <c r="B416" s="196" t="n">
        <v>2015</v>
      </c>
      <c r="C416" s="196" t="n">
        <v>0</v>
      </c>
      <c r="D416" s="196" t="n">
        <v>0</v>
      </c>
      <c r="E416" s="196" t="n">
        <v>0</v>
      </c>
      <c r="F416" s="196" t="n">
        <v>1</v>
      </c>
      <c r="G416" s="196" t="n">
        <v>1</v>
      </c>
      <c r="H416" s="196" t="n">
        <v>0</v>
      </c>
      <c r="I416" s="196" t="n">
        <v>1</v>
      </c>
      <c r="J416" s="196" t="n">
        <v>0</v>
      </c>
      <c r="K416" s="196" t="n">
        <v>3</v>
      </c>
      <c r="L416" s="196" t="n">
        <v>1</v>
      </c>
      <c r="M416" s="196"/>
      <c r="N416" s="196"/>
      <c r="O416" s="196" t="n">
        <f aca="false">SUM(C416:N416)</f>
        <v>7</v>
      </c>
    </row>
    <row r="417" customFormat="false" ht="12.75" hidden="false" customHeight="false" outlineLevel="0" collapsed="false">
      <c r="A417" s="195" t="s">
        <v>214</v>
      </c>
      <c r="B417" s="202" t="s">
        <v>210</v>
      </c>
      <c r="C417" s="196" t="n">
        <f aca="false">C415-C416</f>
        <v>1</v>
      </c>
      <c r="D417" s="196" t="n">
        <f aca="false">D415-D416</f>
        <v>0</v>
      </c>
      <c r="E417" s="196" t="n">
        <f aca="false">E415-E416</f>
        <v>0</v>
      </c>
      <c r="F417" s="196" t="n">
        <f aca="false">F415-F416</f>
        <v>-1</v>
      </c>
      <c r="G417" s="196" t="n">
        <f aca="false">G415-G416</f>
        <v>0</v>
      </c>
      <c r="H417" s="196" t="n">
        <f aca="false">H415-H416</f>
        <v>0</v>
      </c>
      <c r="I417" s="196" t="n">
        <f aca="false">I415-I416</f>
        <v>-1</v>
      </c>
      <c r="J417" s="196" t="n">
        <f aca="false">J415-J416</f>
        <v>0</v>
      </c>
      <c r="K417" s="196" t="n">
        <f aca="false">K415-K416</f>
        <v>-3</v>
      </c>
      <c r="L417" s="196" t="n">
        <f aca="false">L415-L416</f>
        <v>1</v>
      </c>
      <c r="M417" s="196"/>
      <c r="N417" s="196"/>
      <c r="O417" s="196" t="n">
        <f aca="false">O415-O416</f>
        <v>-3</v>
      </c>
    </row>
    <row r="418" customFormat="false" ht="13.5" hidden="false" customHeight="false" outlineLevel="0" collapsed="false">
      <c r="A418" s="199"/>
      <c r="B418" s="200" t="s">
        <v>9</v>
      </c>
      <c r="C418" s="201" t="n">
        <v>0</v>
      </c>
      <c r="D418" s="201" t="n">
        <v>0</v>
      </c>
      <c r="E418" s="201" t="n">
        <v>0</v>
      </c>
      <c r="F418" s="201" t="n">
        <f aca="false">F417/F416</f>
        <v>-1</v>
      </c>
      <c r="G418" s="201" t="n">
        <f aca="false">G417/G416</f>
        <v>0</v>
      </c>
      <c r="H418" s="201" t="n">
        <v>0</v>
      </c>
      <c r="I418" s="201" t="n">
        <f aca="false">I417/I416</f>
        <v>-1</v>
      </c>
      <c r="J418" s="201" t="n">
        <v>0</v>
      </c>
      <c r="K418" s="201" t="n">
        <f aca="false">K417/K416</f>
        <v>-1</v>
      </c>
      <c r="L418" s="201" t="n">
        <f aca="false">L417/L416</f>
        <v>1</v>
      </c>
      <c r="M418" s="201"/>
      <c r="N418" s="201"/>
      <c r="O418" s="201" t="n">
        <f aca="false">O417/O416</f>
        <v>-0.428571428571429</v>
      </c>
    </row>
    <row r="419" customFormat="false" ht="12.75" hidden="false" customHeight="false" outlineLevel="0" collapsed="false">
      <c r="A419" s="198"/>
      <c r="B419" s="194" t="n">
        <v>2016</v>
      </c>
      <c r="C419" s="204" t="n">
        <v>0</v>
      </c>
      <c r="D419" s="204" t="n">
        <v>0</v>
      </c>
      <c r="E419" s="204" t="n">
        <v>0</v>
      </c>
      <c r="F419" s="204" t="n">
        <v>0</v>
      </c>
      <c r="G419" s="204" t="n">
        <v>0</v>
      </c>
      <c r="H419" s="204" t="n">
        <v>0</v>
      </c>
      <c r="I419" s="204" t="n">
        <v>0</v>
      </c>
      <c r="J419" s="204" t="n">
        <v>0</v>
      </c>
      <c r="K419" s="204" t="n">
        <v>0</v>
      </c>
      <c r="L419" s="204" t="n">
        <v>0</v>
      </c>
      <c r="M419" s="204"/>
      <c r="N419" s="204"/>
      <c r="O419" s="194" t="n">
        <f aca="false">SUM(C419:N419)</f>
        <v>0</v>
      </c>
    </row>
    <row r="420" customFormat="false" ht="12.75" hidden="false" customHeight="false" outlineLevel="0" collapsed="false">
      <c r="A420" s="203" t="s">
        <v>215</v>
      </c>
      <c r="B420" s="196" t="n">
        <v>2015</v>
      </c>
      <c r="C420" s="196" t="n">
        <v>0</v>
      </c>
      <c r="D420" s="196" t="n">
        <v>0</v>
      </c>
      <c r="E420" s="196" t="n">
        <v>0</v>
      </c>
      <c r="F420" s="196" t="n">
        <v>0</v>
      </c>
      <c r="G420" s="196" t="n">
        <v>0</v>
      </c>
      <c r="H420" s="196" t="n">
        <v>0</v>
      </c>
      <c r="I420" s="196" t="n">
        <v>0</v>
      </c>
      <c r="J420" s="196" t="n">
        <v>0</v>
      </c>
      <c r="K420" s="196" t="n">
        <v>0</v>
      </c>
      <c r="L420" s="196" t="n">
        <v>0</v>
      </c>
      <c r="M420" s="196"/>
      <c r="N420" s="196"/>
      <c r="O420" s="196" t="n">
        <f aca="false">SUM(C420:N420)</f>
        <v>0</v>
      </c>
    </row>
    <row r="421" customFormat="false" ht="12.75" hidden="false" customHeight="false" outlineLevel="0" collapsed="false">
      <c r="A421" s="203" t="s">
        <v>216</v>
      </c>
      <c r="B421" s="202" t="s">
        <v>210</v>
      </c>
      <c r="C421" s="196" t="n">
        <f aca="false">C419-C420</f>
        <v>0</v>
      </c>
      <c r="D421" s="196" t="n">
        <f aca="false">D419-D420</f>
        <v>0</v>
      </c>
      <c r="E421" s="196" t="n">
        <f aca="false">E419-E420</f>
        <v>0</v>
      </c>
      <c r="F421" s="196" t="n">
        <f aca="false">F419-F420</f>
        <v>0</v>
      </c>
      <c r="G421" s="196" t="n">
        <f aca="false">G419-G420</f>
        <v>0</v>
      </c>
      <c r="H421" s="196" t="n">
        <f aca="false">H419-H420</f>
        <v>0</v>
      </c>
      <c r="I421" s="196" t="n">
        <f aca="false">I419-I420</f>
        <v>0</v>
      </c>
      <c r="J421" s="196" t="n">
        <f aca="false">J419-J420</f>
        <v>0</v>
      </c>
      <c r="K421" s="196" t="n">
        <f aca="false">K419-K420</f>
        <v>0</v>
      </c>
      <c r="L421" s="196" t="n">
        <f aca="false">L419-L420</f>
        <v>0</v>
      </c>
      <c r="M421" s="196"/>
      <c r="N421" s="196"/>
      <c r="O421" s="196" t="n">
        <f aca="false">O419-O420</f>
        <v>0</v>
      </c>
    </row>
    <row r="422" customFormat="false" ht="13.5" hidden="false" customHeight="false" outlineLevel="0" collapsed="false">
      <c r="A422" s="199"/>
      <c r="B422" s="200" t="s">
        <v>9</v>
      </c>
      <c r="C422" s="201" t="n">
        <v>0</v>
      </c>
      <c r="D422" s="201" t="n">
        <v>0</v>
      </c>
      <c r="E422" s="201" t="n">
        <v>0</v>
      </c>
      <c r="F422" s="201" t="n">
        <v>0</v>
      </c>
      <c r="G422" s="201" t="n">
        <v>0</v>
      </c>
      <c r="H422" s="201" t="n">
        <v>0</v>
      </c>
      <c r="I422" s="201" t="n">
        <v>0</v>
      </c>
      <c r="J422" s="201" t="n">
        <v>0</v>
      </c>
      <c r="K422" s="201" t="n">
        <v>0</v>
      </c>
      <c r="L422" s="201" t="n">
        <v>0</v>
      </c>
      <c r="M422" s="201"/>
      <c r="N422" s="201"/>
      <c r="O422" s="201" t="n">
        <v>0</v>
      </c>
    </row>
    <row r="423" customFormat="false" ht="12.75" hidden="false" customHeight="false" outlineLevel="0" collapsed="false">
      <c r="A423" s="198"/>
      <c r="B423" s="194" t="n">
        <v>2016</v>
      </c>
      <c r="C423" s="204" t="n">
        <v>8</v>
      </c>
      <c r="D423" s="204" t="n">
        <v>4</v>
      </c>
      <c r="E423" s="204" t="n">
        <v>5</v>
      </c>
      <c r="F423" s="204" t="n">
        <v>4</v>
      </c>
      <c r="G423" s="204" t="n">
        <v>4</v>
      </c>
      <c r="H423" s="204" t="n">
        <v>3</v>
      </c>
      <c r="I423" s="204" t="n">
        <v>6</v>
      </c>
      <c r="J423" s="204" t="n">
        <v>3</v>
      </c>
      <c r="K423" s="204" t="n">
        <v>6</v>
      </c>
      <c r="L423" s="204" t="n">
        <v>7</v>
      </c>
      <c r="M423" s="204"/>
      <c r="N423" s="204"/>
      <c r="O423" s="194" t="n">
        <f aca="false">SUM(C423:N423)</f>
        <v>50</v>
      </c>
    </row>
    <row r="424" customFormat="false" ht="12.75" hidden="false" customHeight="false" outlineLevel="0" collapsed="false">
      <c r="A424" s="195" t="s">
        <v>217</v>
      </c>
      <c r="B424" s="196" t="n">
        <v>2015</v>
      </c>
      <c r="C424" s="196" t="n">
        <v>10</v>
      </c>
      <c r="D424" s="196" t="n">
        <v>6</v>
      </c>
      <c r="E424" s="196" t="n">
        <v>6</v>
      </c>
      <c r="F424" s="196" t="n">
        <v>10</v>
      </c>
      <c r="G424" s="196" t="n">
        <v>20</v>
      </c>
      <c r="H424" s="196" t="n">
        <v>6</v>
      </c>
      <c r="I424" s="196" t="n">
        <v>8</v>
      </c>
      <c r="J424" s="196" t="n">
        <v>5</v>
      </c>
      <c r="K424" s="196" t="n">
        <v>12</v>
      </c>
      <c r="L424" s="196" t="n">
        <v>9</v>
      </c>
      <c r="M424" s="196"/>
      <c r="N424" s="196"/>
      <c r="O424" s="196" t="n">
        <f aca="false">SUM(C424:N424)</f>
        <v>92</v>
      </c>
    </row>
    <row r="425" customFormat="false" ht="12.75" hidden="false" customHeight="false" outlineLevel="0" collapsed="false">
      <c r="A425" s="198"/>
      <c r="B425" s="202" t="s">
        <v>210</v>
      </c>
      <c r="C425" s="196" t="n">
        <f aca="false">C423-C424</f>
        <v>-2</v>
      </c>
      <c r="D425" s="196" t="n">
        <f aca="false">D423-D424</f>
        <v>-2</v>
      </c>
      <c r="E425" s="196" t="n">
        <f aca="false">E423-E424</f>
        <v>-1</v>
      </c>
      <c r="F425" s="196" t="n">
        <f aca="false">F423-F424</f>
        <v>-6</v>
      </c>
      <c r="G425" s="196" t="n">
        <f aca="false">G423-G424</f>
        <v>-16</v>
      </c>
      <c r="H425" s="196" t="n">
        <f aca="false">H423-H424</f>
        <v>-3</v>
      </c>
      <c r="I425" s="196" t="n">
        <f aca="false">I423-I424</f>
        <v>-2</v>
      </c>
      <c r="J425" s="196" t="n">
        <f aca="false">J423-J424</f>
        <v>-2</v>
      </c>
      <c r="K425" s="196" t="n">
        <f aca="false">K423-K424</f>
        <v>-6</v>
      </c>
      <c r="L425" s="196" t="n">
        <f aca="false">L423-L424</f>
        <v>-2</v>
      </c>
      <c r="M425" s="196"/>
      <c r="N425" s="196"/>
      <c r="O425" s="196" t="n">
        <f aca="false">O423-O424</f>
        <v>-42</v>
      </c>
    </row>
    <row r="426" customFormat="false" ht="13.5" hidden="false" customHeight="false" outlineLevel="0" collapsed="false">
      <c r="A426" s="199"/>
      <c r="B426" s="200" t="s">
        <v>9</v>
      </c>
      <c r="C426" s="201" t="n">
        <f aca="false">C425/C424</f>
        <v>-0.2</v>
      </c>
      <c r="D426" s="201" t="n">
        <f aca="false">D425/D424</f>
        <v>-0.333333333333333</v>
      </c>
      <c r="E426" s="201" t="n">
        <f aca="false">E425/E424</f>
        <v>-0.166666666666667</v>
      </c>
      <c r="F426" s="201" t="n">
        <f aca="false">F425/F424</f>
        <v>-0.6</v>
      </c>
      <c r="G426" s="201" t="n">
        <f aca="false">G425/G424</f>
        <v>-0.8</v>
      </c>
      <c r="H426" s="201" t="n">
        <f aca="false">H425/H424</f>
        <v>-0.5</v>
      </c>
      <c r="I426" s="201" t="n">
        <f aca="false">I425/I424</f>
        <v>-0.25</v>
      </c>
      <c r="J426" s="201" t="n">
        <f aca="false">J425/J424</f>
        <v>-0.4</v>
      </c>
      <c r="K426" s="201" t="n">
        <f aca="false">K425/K424</f>
        <v>-0.5</v>
      </c>
      <c r="L426" s="201" t="n">
        <f aca="false">L425/L424</f>
        <v>-0.222222222222222</v>
      </c>
      <c r="M426" s="201"/>
      <c r="N426" s="201"/>
      <c r="O426" s="201" t="n">
        <f aca="false">O425/O424</f>
        <v>-0.456521739130435</v>
      </c>
    </row>
    <row r="427" customFormat="false" ht="12.75" hidden="false" customHeight="false" outlineLevel="0" collapsed="false">
      <c r="A427" s="198"/>
      <c r="B427" s="194" t="n">
        <v>2016</v>
      </c>
      <c r="C427" s="204" t="n">
        <v>16</v>
      </c>
      <c r="D427" s="204" t="n">
        <v>18</v>
      </c>
      <c r="E427" s="204" t="n">
        <v>16</v>
      </c>
      <c r="F427" s="204" t="n">
        <v>5</v>
      </c>
      <c r="G427" s="204" t="n">
        <v>16</v>
      </c>
      <c r="H427" s="204" t="n">
        <v>20</v>
      </c>
      <c r="I427" s="204" t="n">
        <v>23</v>
      </c>
      <c r="J427" s="204" t="n">
        <v>7</v>
      </c>
      <c r="K427" s="204" t="n">
        <v>17</v>
      </c>
      <c r="L427" s="204" t="n">
        <v>20</v>
      </c>
      <c r="M427" s="204"/>
      <c r="N427" s="204"/>
      <c r="O427" s="194" t="n">
        <f aca="false">SUM(C427:N427)</f>
        <v>158</v>
      </c>
    </row>
    <row r="428" customFormat="false" ht="12.75" hidden="false" customHeight="false" outlineLevel="0" collapsed="false">
      <c r="A428" s="195" t="s">
        <v>218</v>
      </c>
      <c r="B428" s="196" t="n">
        <v>2015</v>
      </c>
      <c r="C428" s="196" t="n">
        <v>11</v>
      </c>
      <c r="D428" s="196" t="n">
        <v>3</v>
      </c>
      <c r="E428" s="196" t="n">
        <v>7</v>
      </c>
      <c r="F428" s="196" t="n">
        <v>11</v>
      </c>
      <c r="G428" s="196" t="n">
        <v>11</v>
      </c>
      <c r="H428" s="196" t="n">
        <v>15</v>
      </c>
      <c r="I428" s="196" t="n">
        <v>14</v>
      </c>
      <c r="J428" s="196" t="n">
        <v>9</v>
      </c>
      <c r="K428" s="196" t="n">
        <v>14</v>
      </c>
      <c r="L428" s="196" t="n">
        <v>10</v>
      </c>
      <c r="M428" s="196"/>
      <c r="N428" s="196"/>
      <c r="O428" s="196" t="n">
        <f aca="false">SUM(C428:N428)</f>
        <v>105</v>
      </c>
    </row>
    <row r="429" customFormat="false" ht="12.75" hidden="false" customHeight="false" outlineLevel="0" collapsed="false">
      <c r="A429" s="195" t="s">
        <v>219</v>
      </c>
      <c r="B429" s="202" t="s">
        <v>210</v>
      </c>
      <c r="C429" s="196" t="n">
        <f aca="false">C427-C428</f>
        <v>5</v>
      </c>
      <c r="D429" s="196" t="n">
        <f aca="false">D427-D428</f>
        <v>15</v>
      </c>
      <c r="E429" s="196" t="n">
        <f aca="false">E427-E428</f>
        <v>9</v>
      </c>
      <c r="F429" s="196" t="n">
        <f aca="false">F427-F428</f>
        <v>-6</v>
      </c>
      <c r="G429" s="196" t="n">
        <f aca="false">G427-G428</f>
        <v>5</v>
      </c>
      <c r="H429" s="196" t="n">
        <f aca="false">H427-H428</f>
        <v>5</v>
      </c>
      <c r="I429" s="196" t="n">
        <f aca="false">I427-I428</f>
        <v>9</v>
      </c>
      <c r="J429" s="196" t="n">
        <f aca="false">J427-J428</f>
        <v>-2</v>
      </c>
      <c r="K429" s="196" t="n">
        <f aca="false">K427-K428</f>
        <v>3</v>
      </c>
      <c r="L429" s="196" t="n">
        <f aca="false">L427-L428</f>
        <v>10</v>
      </c>
      <c r="M429" s="196"/>
      <c r="N429" s="196"/>
      <c r="O429" s="196" t="n">
        <f aca="false">O427-O428</f>
        <v>53</v>
      </c>
    </row>
    <row r="430" customFormat="false" ht="13.5" hidden="false" customHeight="false" outlineLevel="0" collapsed="false">
      <c r="A430" s="199" t="s">
        <v>2</v>
      </c>
      <c r="B430" s="200" t="s">
        <v>9</v>
      </c>
      <c r="C430" s="201" t="n">
        <f aca="false">C429/C428</f>
        <v>0.454545454545455</v>
      </c>
      <c r="D430" s="201" t="n">
        <f aca="false">D429/D428</f>
        <v>5</v>
      </c>
      <c r="E430" s="201" t="n">
        <f aca="false">E429/E428</f>
        <v>1.28571428571429</v>
      </c>
      <c r="F430" s="201" t="n">
        <f aca="false">F429/F428</f>
        <v>-0.545454545454545</v>
      </c>
      <c r="G430" s="201" t="n">
        <f aca="false">G429/G428</f>
        <v>0.454545454545455</v>
      </c>
      <c r="H430" s="201" t="n">
        <f aca="false">H429/H428</f>
        <v>0.333333333333333</v>
      </c>
      <c r="I430" s="201" t="n">
        <f aca="false">I429/I428</f>
        <v>0.642857142857143</v>
      </c>
      <c r="J430" s="201" t="n">
        <f aca="false">J429/J428</f>
        <v>-0.222222222222222</v>
      </c>
      <c r="K430" s="201" t="n">
        <f aca="false">K429/K428</f>
        <v>0.214285714285714</v>
      </c>
      <c r="L430" s="201" t="n">
        <f aca="false">L429/L428</f>
        <v>1</v>
      </c>
      <c r="M430" s="201"/>
      <c r="N430" s="201"/>
      <c r="O430" s="201" t="n">
        <f aca="false">O429/O428</f>
        <v>0.504761904761905</v>
      </c>
    </row>
    <row r="431" customFormat="false" ht="12.75" hidden="false" customHeight="false" outlineLevel="0" collapsed="false">
      <c r="A431" s="198"/>
      <c r="B431" s="194" t="n">
        <v>2016</v>
      </c>
      <c r="C431" s="204" t="n">
        <v>46</v>
      </c>
      <c r="D431" s="204" t="n">
        <v>37</v>
      </c>
      <c r="E431" s="204" t="n">
        <v>50</v>
      </c>
      <c r="F431" s="204" t="n">
        <v>53</v>
      </c>
      <c r="G431" s="204" t="n">
        <v>56</v>
      </c>
      <c r="H431" s="204" t="n">
        <v>38</v>
      </c>
      <c r="I431" s="204" t="n">
        <v>57</v>
      </c>
      <c r="J431" s="204" t="n">
        <v>35</v>
      </c>
      <c r="K431" s="204" t="n">
        <v>47</v>
      </c>
      <c r="L431" s="204" t="n">
        <v>44</v>
      </c>
      <c r="M431" s="204"/>
      <c r="N431" s="204"/>
      <c r="O431" s="194" t="n">
        <f aca="false">SUM(C431:N431)</f>
        <v>463</v>
      </c>
    </row>
    <row r="432" customFormat="false" ht="12.75" hidden="false" customHeight="false" outlineLevel="0" collapsed="false">
      <c r="A432" s="195" t="s">
        <v>220</v>
      </c>
      <c r="B432" s="196" t="n">
        <v>2015</v>
      </c>
      <c r="C432" s="196" t="n">
        <v>80</v>
      </c>
      <c r="D432" s="196" t="n">
        <v>51</v>
      </c>
      <c r="E432" s="196" t="n">
        <v>56</v>
      </c>
      <c r="F432" s="196" t="n">
        <v>31</v>
      </c>
      <c r="G432" s="196" t="n">
        <v>42</v>
      </c>
      <c r="H432" s="196" t="n">
        <v>75</v>
      </c>
      <c r="I432" s="196" t="n">
        <v>60</v>
      </c>
      <c r="J432" s="196" t="n">
        <v>51</v>
      </c>
      <c r="K432" s="196" t="n">
        <v>55</v>
      </c>
      <c r="L432" s="196" t="n">
        <v>69</v>
      </c>
      <c r="M432" s="196"/>
      <c r="N432" s="196"/>
      <c r="O432" s="196" t="n">
        <f aca="false">SUM(C432:N432)</f>
        <v>570</v>
      </c>
    </row>
    <row r="433" customFormat="false" ht="12.75" hidden="false" customHeight="false" outlineLevel="0" collapsed="false">
      <c r="A433" s="198"/>
      <c r="B433" s="202" t="s">
        <v>210</v>
      </c>
      <c r="C433" s="196" t="n">
        <f aca="false">C431-C432</f>
        <v>-34</v>
      </c>
      <c r="D433" s="196" t="n">
        <f aca="false">D431-D432</f>
        <v>-14</v>
      </c>
      <c r="E433" s="196" t="n">
        <f aca="false">E431-E432</f>
        <v>-6</v>
      </c>
      <c r="F433" s="196" t="n">
        <f aca="false">F431-F432</f>
        <v>22</v>
      </c>
      <c r="G433" s="196" t="n">
        <f aca="false">G431-G432</f>
        <v>14</v>
      </c>
      <c r="H433" s="196" t="n">
        <f aca="false">H431-H432</f>
        <v>-37</v>
      </c>
      <c r="I433" s="196" t="n">
        <f aca="false">I431-I432</f>
        <v>-3</v>
      </c>
      <c r="J433" s="196" t="n">
        <f aca="false">J431-J432</f>
        <v>-16</v>
      </c>
      <c r="K433" s="196" t="n">
        <f aca="false">K431-K432</f>
        <v>-8</v>
      </c>
      <c r="L433" s="196" t="n">
        <f aca="false">L431-L432</f>
        <v>-25</v>
      </c>
      <c r="M433" s="196"/>
      <c r="N433" s="196"/>
      <c r="O433" s="196" t="n">
        <f aca="false">O431-O432</f>
        <v>-107</v>
      </c>
    </row>
    <row r="434" customFormat="false" ht="13.5" hidden="false" customHeight="false" outlineLevel="0" collapsed="false">
      <c r="A434" s="199"/>
      <c r="B434" s="200" t="s">
        <v>9</v>
      </c>
      <c r="C434" s="201" t="n">
        <f aca="false">C433/C432</f>
        <v>-0.425</v>
      </c>
      <c r="D434" s="201" t="n">
        <f aca="false">D433/D432</f>
        <v>-0.274509803921569</v>
      </c>
      <c r="E434" s="201" t="n">
        <f aca="false">E433/E432</f>
        <v>-0.107142857142857</v>
      </c>
      <c r="F434" s="201" t="n">
        <f aca="false">F433/F432</f>
        <v>0.709677419354839</v>
      </c>
      <c r="G434" s="201" t="n">
        <f aca="false">G433/G432</f>
        <v>0.333333333333333</v>
      </c>
      <c r="H434" s="201" t="n">
        <f aca="false">H433/H432</f>
        <v>-0.493333333333333</v>
      </c>
      <c r="I434" s="201" t="n">
        <f aca="false">I433/I432</f>
        <v>-0.05</v>
      </c>
      <c r="J434" s="201" t="n">
        <f aca="false">J433/J432</f>
        <v>-0.313725490196078</v>
      </c>
      <c r="K434" s="201" t="n">
        <f aca="false">K433/K432</f>
        <v>-0.145454545454545</v>
      </c>
      <c r="L434" s="201" t="n">
        <f aca="false">L433/L432</f>
        <v>-0.36231884057971</v>
      </c>
      <c r="M434" s="201"/>
      <c r="N434" s="201"/>
      <c r="O434" s="201" t="n">
        <f aca="false">O433/O432</f>
        <v>-0.187719298245614</v>
      </c>
    </row>
    <row r="435" customFormat="false" ht="12.75" hidden="false" customHeight="false" outlineLevel="0" collapsed="false">
      <c r="A435" s="198"/>
      <c r="B435" s="194" t="n">
        <v>2016</v>
      </c>
      <c r="C435" s="204" t="n">
        <v>84</v>
      </c>
      <c r="D435" s="204" t="n">
        <v>105</v>
      </c>
      <c r="E435" s="204" t="n">
        <v>79</v>
      </c>
      <c r="F435" s="204" t="n">
        <v>122</v>
      </c>
      <c r="G435" s="204" t="n">
        <v>87</v>
      </c>
      <c r="H435" s="204" t="n">
        <v>57</v>
      </c>
      <c r="I435" s="204" t="n">
        <v>69</v>
      </c>
      <c r="J435" s="204" t="n">
        <v>65</v>
      </c>
      <c r="K435" s="204" t="n">
        <v>44</v>
      </c>
      <c r="L435" s="204" t="n">
        <v>66</v>
      </c>
      <c r="M435" s="204"/>
      <c r="N435" s="204"/>
      <c r="O435" s="194" t="n">
        <f aca="false">SUM(C435:N435)</f>
        <v>778</v>
      </c>
    </row>
    <row r="436" customFormat="false" ht="12.75" hidden="false" customHeight="false" outlineLevel="0" collapsed="false">
      <c r="A436" s="195" t="s">
        <v>221</v>
      </c>
      <c r="B436" s="196" t="n">
        <v>2015</v>
      </c>
      <c r="C436" s="196" t="n">
        <v>116</v>
      </c>
      <c r="D436" s="196" t="n">
        <v>68</v>
      </c>
      <c r="E436" s="196" t="n">
        <v>94</v>
      </c>
      <c r="F436" s="196" t="n">
        <v>82</v>
      </c>
      <c r="G436" s="196" t="n">
        <v>68</v>
      </c>
      <c r="H436" s="196" t="n">
        <v>74</v>
      </c>
      <c r="I436" s="196" t="n">
        <v>83</v>
      </c>
      <c r="J436" s="196" t="n">
        <v>78</v>
      </c>
      <c r="K436" s="196" t="n">
        <v>106</v>
      </c>
      <c r="L436" s="196" t="n">
        <v>82</v>
      </c>
      <c r="M436" s="196"/>
      <c r="N436" s="196"/>
      <c r="O436" s="196" t="n">
        <f aca="false">SUM(C436:N436)</f>
        <v>851</v>
      </c>
    </row>
    <row r="437" customFormat="false" ht="12.75" hidden="false" customHeight="false" outlineLevel="0" collapsed="false">
      <c r="A437" s="195" t="s">
        <v>222</v>
      </c>
      <c r="B437" s="202" t="s">
        <v>210</v>
      </c>
      <c r="C437" s="196" t="n">
        <f aca="false">C435-C436</f>
        <v>-32</v>
      </c>
      <c r="D437" s="196" t="n">
        <f aca="false">D435-D436</f>
        <v>37</v>
      </c>
      <c r="E437" s="196" t="n">
        <f aca="false">E435-E436</f>
        <v>-15</v>
      </c>
      <c r="F437" s="196" t="n">
        <f aca="false">F435-F436</f>
        <v>40</v>
      </c>
      <c r="G437" s="196" t="n">
        <f aca="false">G435-G436</f>
        <v>19</v>
      </c>
      <c r="H437" s="196" t="n">
        <f aca="false">H435-H436</f>
        <v>-17</v>
      </c>
      <c r="I437" s="196" t="n">
        <f aca="false">I435-I436</f>
        <v>-14</v>
      </c>
      <c r="J437" s="196" t="n">
        <f aca="false">J435-J436</f>
        <v>-13</v>
      </c>
      <c r="K437" s="196" t="n">
        <f aca="false">K435-K436</f>
        <v>-62</v>
      </c>
      <c r="L437" s="196" t="n">
        <f aca="false">L435-L436</f>
        <v>-16</v>
      </c>
      <c r="M437" s="196"/>
      <c r="N437" s="196"/>
      <c r="O437" s="196" t="n">
        <f aca="false">O435-O436</f>
        <v>-73</v>
      </c>
    </row>
    <row r="438" customFormat="false" ht="13.5" hidden="false" customHeight="false" outlineLevel="0" collapsed="false">
      <c r="A438" s="199"/>
      <c r="B438" s="200" t="s">
        <v>9</v>
      </c>
      <c r="C438" s="201" t="n">
        <f aca="false">C437/C436</f>
        <v>-0.275862068965517</v>
      </c>
      <c r="D438" s="201" t="n">
        <f aca="false">D437/D436</f>
        <v>0.544117647058824</v>
      </c>
      <c r="E438" s="201" t="n">
        <f aca="false">E437/E436</f>
        <v>-0.159574468085106</v>
      </c>
      <c r="F438" s="201" t="n">
        <f aca="false">F437/F436</f>
        <v>0.487804878048781</v>
      </c>
      <c r="G438" s="201" t="n">
        <f aca="false">G437/G436</f>
        <v>0.279411764705882</v>
      </c>
      <c r="H438" s="201" t="n">
        <f aca="false">H437/H436</f>
        <v>-0.22972972972973</v>
      </c>
      <c r="I438" s="201" t="n">
        <f aca="false">I437/I436</f>
        <v>-0.168674698795181</v>
      </c>
      <c r="J438" s="201" t="n">
        <f aca="false">J437/J436</f>
        <v>-0.166666666666667</v>
      </c>
      <c r="K438" s="201" t="n">
        <f aca="false">K437/K436</f>
        <v>-0.584905660377359</v>
      </c>
      <c r="L438" s="201" t="n">
        <f aca="false">L437/L436</f>
        <v>-0.195121951219512</v>
      </c>
      <c r="M438" s="201"/>
      <c r="N438" s="201"/>
      <c r="O438" s="201" t="n">
        <f aca="false">O437/O436</f>
        <v>-0.0857814336075206</v>
      </c>
    </row>
    <row r="439" customFormat="false" ht="12.75" hidden="false" customHeight="false" outlineLevel="0" collapsed="false">
      <c r="A439" s="198"/>
      <c r="B439" s="194" t="n">
        <v>2016</v>
      </c>
      <c r="C439" s="204" t="n">
        <v>0</v>
      </c>
      <c r="D439" s="204" t="n">
        <v>7</v>
      </c>
      <c r="E439" s="204" t="n">
        <v>9</v>
      </c>
      <c r="F439" s="204" t="n">
        <v>5</v>
      </c>
      <c r="G439" s="204" t="n">
        <v>3</v>
      </c>
      <c r="H439" s="204" t="n">
        <v>7</v>
      </c>
      <c r="I439" s="204" t="n">
        <v>5</v>
      </c>
      <c r="J439" s="204" t="n">
        <v>6</v>
      </c>
      <c r="K439" s="204" t="n">
        <v>4</v>
      </c>
      <c r="L439" s="204" t="n">
        <v>4</v>
      </c>
      <c r="M439" s="204"/>
      <c r="N439" s="204"/>
      <c r="O439" s="194" t="n">
        <f aca="false">SUM(C439:N439)</f>
        <v>50</v>
      </c>
    </row>
    <row r="440" customFormat="false" ht="12.75" hidden="false" customHeight="false" outlineLevel="0" collapsed="false">
      <c r="A440" s="195" t="s">
        <v>223</v>
      </c>
      <c r="B440" s="196" t="n">
        <v>2015</v>
      </c>
      <c r="C440" s="196" t="n">
        <v>5</v>
      </c>
      <c r="D440" s="196" t="n">
        <v>3</v>
      </c>
      <c r="E440" s="196" t="n">
        <v>3</v>
      </c>
      <c r="F440" s="196" t="n">
        <v>1</v>
      </c>
      <c r="G440" s="196" t="n">
        <v>3</v>
      </c>
      <c r="H440" s="196" t="n">
        <v>5</v>
      </c>
      <c r="I440" s="196" t="n">
        <v>2</v>
      </c>
      <c r="J440" s="196" t="n">
        <v>8</v>
      </c>
      <c r="K440" s="196" t="n">
        <v>4</v>
      </c>
      <c r="L440" s="196" t="n">
        <v>4</v>
      </c>
      <c r="M440" s="196"/>
      <c r="N440" s="196"/>
      <c r="O440" s="196" t="n">
        <f aca="false">SUM(C440:N440)</f>
        <v>38</v>
      </c>
    </row>
    <row r="441" customFormat="false" ht="12.75" hidden="false" customHeight="false" outlineLevel="0" collapsed="false">
      <c r="A441" s="195" t="s">
        <v>224</v>
      </c>
      <c r="B441" s="202" t="s">
        <v>210</v>
      </c>
      <c r="C441" s="196" t="n">
        <f aca="false">C439-C440</f>
        <v>-5</v>
      </c>
      <c r="D441" s="196" t="n">
        <f aca="false">D439-D440</f>
        <v>4</v>
      </c>
      <c r="E441" s="196" t="n">
        <f aca="false">E439-E440</f>
        <v>6</v>
      </c>
      <c r="F441" s="196" t="n">
        <f aca="false">F439-F440</f>
        <v>4</v>
      </c>
      <c r="G441" s="196" t="n">
        <f aca="false">G439-G440</f>
        <v>0</v>
      </c>
      <c r="H441" s="196" t="n">
        <f aca="false">H439-H440</f>
        <v>2</v>
      </c>
      <c r="I441" s="196" t="n">
        <f aca="false">I439-I440</f>
        <v>3</v>
      </c>
      <c r="J441" s="196" t="n">
        <f aca="false">J439-J440</f>
        <v>-2</v>
      </c>
      <c r="K441" s="196" t="n">
        <f aca="false">K439-K440</f>
        <v>0</v>
      </c>
      <c r="L441" s="196" t="n">
        <f aca="false">L439-L440</f>
        <v>0</v>
      </c>
      <c r="M441" s="196"/>
      <c r="N441" s="196"/>
      <c r="O441" s="196" t="n">
        <f aca="false">O439-O440</f>
        <v>12</v>
      </c>
    </row>
    <row r="442" customFormat="false" ht="13.5" hidden="false" customHeight="false" outlineLevel="0" collapsed="false">
      <c r="A442" s="199"/>
      <c r="B442" s="200" t="s">
        <v>9</v>
      </c>
      <c r="C442" s="201" t="n">
        <f aca="false">C441/C440</f>
        <v>-1</v>
      </c>
      <c r="D442" s="201" t="n">
        <f aca="false">D441/D440</f>
        <v>1.33333333333333</v>
      </c>
      <c r="E442" s="201" t="n">
        <f aca="false">E441/E440</f>
        <v>2</v>
      </c>
      <c r="F442" s="201" t="n">
        <f aca="false">F441/F440</f>
        <v>4</v>
      </c>
      <c r="G442" s="201" t="n">
        <f aca="false">G441/G440</f>
        <v>0</v>
      </c>
      <c r="H442" s="201" t="n">
        <f aca="false">H441/H440</f>
        <v>0.4</v>
      </c>
      <c r="I442" s="201" t="n">
        <f aca="false">I441/I440</f>
        <v>1.5</v>
      </c>
      <c r="J442" s="201" t="n">
        <f aca="false">J441/J440</f>
        <v>-0.25</v>
      </c>
      <c r="K442" s="201" t="n">
        <f aca="false">K441/K440</f>
        <v>0</v>
      </c>
      <c r="L442" s="201" t="n">
        <f aca="false">L441/L440</f>
        <v>0</v>
      </c>
      <c r="M442" s="201"/>
      <c r="N442" s="201"/>
      <c r="O442" s="201" t="n">
        <f aca="false">O441/O440</f>
        <v>0.315789473684211</v>
      </c>
    </row>
    <row r="445" customFormat="false" ht="13.5" hidden="false" customHeight="false" outlineLevel="0" collapsed="false">
      <c r="A445" s="210" t="s">
        <v>171</v>
      </c>
      <c r="B445" s="209"/>
      <c r="C445" s="209"/>
    </row>
    <row r="446" customFormat="false" ht="13.5" hidden="false" customHeight="false" outlineLevel="0" collapsed="false">
      <c r="A446" s="0" t="s">
        <v>2</v>
      </c>
      <c r="B446" s="192" t="s">
        <v>196</v>
      </c>
      <c r="C446" s="192" t="s">
        <v>197</v>
      </c>
      <c r="D446" s="192" t="s">
        <v>198</v>
      </c>
      <c r="E446" s="192" t="s">
        <v>199</v>
      </c>
      <c r="F446" s="192" t="s">
        <v>200</v>
      </c>
      <c r="G446" s="192" t="s">
        <v>201</v>
      </c>
      <c r="H446" s="192" t="s">
        <v>202</v>
      </c>
      <c r="I446" s="192" t="s">
        <v>203</v>
      </c>
      <c r="J446" s="192" t="s">
        <v>204</v>
      </c>
      <c r="K446" s="192" t="s">
        <v>205</v>
      </c>
      <c r="L446" s="192" t="s">
        <v>206</v>
      </c>
      <c r="M446" s="192" t="s">
        <v>207</v>
      </c>
      <c r="N446" s="192" t="s">
        <v>208</v>
      </c>
      <c r="O446" s="192" t="s">
        <v>52</v>
      </c>
    </row>
    <row r="447" customFormat="false" ht="13.5" hidden="false" customHeight="false" outlineLevel="0" collapsed="false">
      <c r="A447" s="193"/>
      <c r="B447" s="194" t="n">
        <v>2015</v>
      </c>
      <c r="C447" s="194" t="n">
        <f aca="false">SUM(C451+C455+C463+C467+C471+C475+C479)</f>
        <v>59</v>
      </c>
      <c r="D447" s="194" t="n">
        <f aca="false">SUM(D451+D455+D463+D467+D471+D475+D479)</f>
        <v>56</v>
      </c>
      <c r="E447" s="194" t="n">
        <f aca="false">SUM(E451+E455+E463+E467+E471+E475+E479)</f>
        <v>44</v>
      </c>
      <c r="F447" s="194" t="n">
        <f aca="false">SUM(F451+F455+F463+F467+F471+F475+F479)</f>
        <v>54</v>
      </c>
      <c r="G447" s="194" t="n">
        <f aca="false">SUM(G451+G455+G463+G467+G471+G475+G479)</f>
        <v>55</v>
      </c>
      <c r="H447" s="194" t="n">
        <f aca="false">SUM(H451+H455+H463+H467+H471+H475+H479)</f>
        <v>52</v>
      </c>
      <c r="I447" s="194" t="n">
        <v>49</v>
      </c>
      <c r="J447" s="194" t="n">
        <f aca="false">SUM(J451+J455+J463+J467+J471+J475+J479)</f>
        <v>59</v>
      </c>
      <c r="K447" s="194" t="n">
        <f aca="false">SUM(K451+K455+K463+K467+K471+K475+K479)</f>
        <v>59</v>
      </c>
      <c r="L447" s="194" t="n">
        <f aca="false">SUM(L451+L455+L463+L467+L471+L475+L479)</f>
        <v>54</v>
      </c>
      <c r="M447" s="194"/>
      <c r="N447" s="194"/>
      <c r="O447" s="194" t="n">
        <f aca="false">SUM(O451+O455+O463+O467+O471+O475+O479)</f>
        <v>541</v>
      </c>
    </row>
    <row r="448" customFormat="false" ht="12.75" hidden="false" customHeight="false" outlineLevel="0" collapsed="false">
      <c r="A448" s="195" t="s">
        <v>52</v>
      </c>
      <c r="B448" s="194" t="n">
        <v>2016</v>
      </c>
      <c r="C448" s="196" t="n">
        <f aca="false">SUM(C452+C456+C460+C464+C468+C472+C476+C480)</f>
        <v>75</v>
      </c>
      <c r="D448" s="196" t="n">
        <f aca="false">SUM(D452+D456+D460+D464+D468+D472+D476+D480)</f>
        <v>54</v>
      </c>
      <c r="E448" s="196" t="n">
        <f aca="false">SUM(E452+E456+E460+E464+E468+E472+E476+E480)</f>
        <v>58</v>
      </c>
      <c r="F448" s="196" t="n">
        <f aca="false">SUM(F452+F456+F460+F464+F468+F472+F476+F480)</f>
        <v>70</v>
      </c>
      <c r="G448" s="196" t="n">
        <f aca="false">SUM(G452+G456+G460+G464+G468+G472+G476+G480)</f>
        <v>52</v>
      </c>
      <c r="H448" s="196" t="n">
        <f aca="false">SUM(H452+H456+H460+H464+H468+H472+H476+H480)</f>
        <v>57</v>
      </c>
      <c r="I448" s="196" t="n">
        <v>47</v>
      </c>
      <c r="J448" s="196" t="n">
        <f aca="false">SUM(J452+J456+J460+J464+J468+J472+J476+J480)</f>
        <v>46</v>
      </c>
      <c r="K448" s="196" t="n">
        <f aca="false">SUM(K452+K456+K460+K464+K468+K472+K476+K480)</f>
        <v>53</v>
      </c>
      <c r="L448" s="196" t="n">
        <f aca="false">SUM(L452+L456+L460+L464+L468+L472+L476+L480)</f>
        <v>51</v>
      </c>
      <c r="M448" s="196"/>
      <c r="N448" s="196"/>
      <c r="O448" s="196" t="n">
        <f aca="false">SUM(C448:N448)</f>
        <v>563</v>
      </c>
    </row>
    <row r="449" customFormat="false" ht="12.75" hidden="false" customHeight="false" outlineLevel="0" collapsed="false">
      <c r="A449" s="195" t="s">
        <v>209</v>
      </c>
      <c r="B449" s="196" t="n">
        <v>2015</v>
      </c>
      <c r="C449" s="196" t="n">
        <f aca="false">C447-C448</f>
        <v>-16</v>
      </c>
      <c r="D449" s="196" t="n">
        <f aca="false">D447-D448</f>
        <v>2</v>
      </c>
      <c r="E449" s="196" t="n">
        <f aca="false">E447-E448</f>
        <v>-14</v>
      </c>
      <c r="F449" s="196" t="n">
        <f aca="false">F447-F448</f>
        <v>-16</v>
      </c>
      <c r="G449" s="196" t="n">
        <f aca="false">G447-G448</f>
        <v>3</v>
      </c>
      <c r="H449" s="196" t="n">
        <f aca="false">H447-H448</f>
        <v>-5</v>
      </c>
      <c r="I449" s="196" t="n">
        <f aca="false">I447-I448</f>
        <v>2</v>
      </c>
      <c r="J449" s="196" t="n">
        <f aca="false">J447-J448</f>
        <v>13</v>
      </c>
      <c r="K449" s="196" t="n">
        <f aca="false">K447-K448</f>
        <v>6</v>
      </c>
      <c r="L449" s="196" t="n">
        <f aca="false">L447-L448</f>
        <v>3</v>
      </c>
      <c r="M449" s="196"/>
      <c r="N449" s="196"/>
      <c r="O449" s="196" t="n">
        <f aca="false">O447-O448</f>
        <v>-22</v>
      </c>
    </row>
    <row r="450" customFormat="false" ht="13.5" hidden="false" customHeight="false" outlineLevel="0" collapsed="false">
      <c r="A450" s="199"/>
      <c r="B450" s="200" t="s">
        <v>9</v>
      </c>
      <c r="C450" s="201" t="n">
        <f aca="false">C449/C448</f>
        <v>-0.213333333333333</v>
      </c>
      <c r="D450" s="201" t="n">
        <f aca="false">D449/D448</f>
        <v>0.037037037037037</v>
      </c>
      <c r="E450" s="201" t="n">
        <f aca="false">E449/E448</f>
        <v>-0.241379310344828</v>
      </c>
      <c r="F450" s="201" t="n">
        <f aca="false">F449/F448</f>
        <v>-0.228571428571429</v>
      </c>
      <c r="G450" s="201" t="n">
        <f aca="false">G449/G448</f>
        <v>0.0576923076923077</v>
      </c>
      <c r="H450" s="201" t="n">
        <f aca="false">H449/H448</f>
        <v>-0.087719298245614</v>
      </c>
      <c r="I450" s="201" t="n">
        <f aca="false">I449/I448</f>
        <v>0.0425531914893617</v>
      </c>
      <c r="J450" s="201" t="n">
        <f aca="false">J449/J448</f>
        <v>0.282608695652174</v>
      </c>
      <c r="K450" s="201" t="n">
        <f aca="false">K449/K448</f>
        <v>0.113207547169811</v>
      </c>
      <c r="L450" s="201" t="n">
        <f aca="false">L449/L448</f>
        <v>0.0588235294117647</v>
      </c>
      <c r="M450" s="201"/>
      <c r="N450" s="201"/>
      <c r="O450" s="201" t="n">
        <f aca="false">O449/O448</f>
        <v>-0.0390763765541741</v>
      </c>
    </row>
    <row r="451" customFormat="false" ht="12.75" hidden="false" customHeight="false" outlineLevel="0" collapsed="false">
      <c r="A451" s="198"/>
      <c r="B451" s="194" t="n">
        <v>2016</v>
      </c>
      <c r="C451" s="194" t="n">
        <v>2</v>
      </c>
      <c r="D451" s="194" t="n">
        <v>0</v>
      </c>
      <c r="E451" s="194" t="n">
        <v>1</v>
      </c>
      <c r="F451" s="194" t="n">
        <v>0</v>
      </c>
      <c r="G451" s="194" t="n">
        <v>0</v>
      </c>
      <c r="H451" s="194" t="n">
        <v>0</v>
      </c>
      <c r="I451" s="194" t="n">
        <v>0</v>
      </c>
      <c r="J451" s="194" t="n">
        <v>0</v>
      </c>
      <c r="K451" s="194" t="n">
        <v>0</v>
      </c>
      <c r="L451" s="194" t="n">
        <v>0</v>
      </c>
      <c r="M451" s="194"/>
      <c r="N451" s="194"/>
      <c r="O451" s="194" t="n">
        <f aca="false">SUM(C451:N451)</f>
        <v>3</v>
      </c>
    </row>
    <row r="452" customFormat="false" ht="12.75" hidden="false" customHeight="false" outlineLevel="0" collapsed="false">
      <c r="A452" s="195" t="s">
        <v>211</v>
      </c>
      <c r="B452" s="196" t="n">
        <v>2015</v>
      </c>
      <c r="C452" s="196" t="n">
        <v>0</v>
      </c>
      <c r="D452" s="196" t="n">
        <v>0</v>
      </c>
      <c r="E452" s="196" t="n">
        <v>0</v>
      </c>
      <c r="F452" s="196" t="n">
        <v>0</v>
      </c>
      <c r="G452" s="196" t="n">
        <v>0</v>
      </c>
      <c r="H452" s="196" t="n">
        <v>0</v>
      </c>
      <c r="I452" s="196" t="n">
        <v>1</v>
      </c>
      <c r="J452" s="196" t="n">
        <v>0</v>
      </c>
      <c r="K452" s="196" t="n">
        <v>0</v>
      </c>
      <c r="L452" s="196" t="n">
        <v>0</v>
      </c>
      <c r="M452" s="196"/>
      <c r="N452" s="196"/>
      <c r="O452" s="196" t="n">
        <f aca="false">SUM(C452:N452)</f>
        <v>1</v>
      </c>
    </row>
    <row r="453" customFormat="false" ht="12.75" hidden="false" customHeight="false" outlineLevel="0" collapsed="false">
      <c r="A453" s="195" t="s">
        <v>212</v>
      </c>
      <c r="B453" s="202" t="s">
        <v>210</v>
      </c>
      <c r="C453" s="196" t="n">
        <f aca="false">C451-C452</f>
        <v>2</v>
      </c>
      <c r="D453" s="196" t="n">
        <f aca="false">D451-D452</f>
        <v>0</v>
      </c>
      <c r="E453" s="196" t="n">
        <f aca="false">E451-E452</f>
        <v>1</v>
      </c>
      <c r="F453" s="196" t="n">
        <f aca="false">F451-F452</f>
        <v>0</v>
      </c>
      <c r="G453" s="196" t="n">
        <f aca="false">G451-G452</f>
        <v>0</v>
      </c>
      <c r="H453" s="196" t="n">
        <f aca="false">H451-H452</f>
        <v>0</v>
      </c>
      <c r="I453" s="196" t="n">
        <f aca="false">I451-I452</f>
        <v>-1</v>
      </c>
      <c r="J453" s="196" t="n">
        <f aca="false">J451-J452</f>
        <v>0</v>
      </c>
      <c r="K453" s="196" t="n">
        <f aca="false">K451-K452</f>
        <v>0</v>
      </c>
      <c r="L453" s="196" t="n">
        <f aca="false">L451-L452</f>
        <v>0</v>
      </c>
      <c r="M453" s="196"/>
      <c r="N453" s="196"/>
      <c r="O453" s="196" t="n">
        <f aca="false">O451-O452</f>
        <v>2</v>
      </c>
    </row>
    <row r="454" customFormat="false" ht="13.5" hidden="false" customHeight="false" outlineLevel="0" collapsed="false">
      <c r="A454" s="199"/>
      <c r="B454" s="200" t="s">
        <v>9</v>
      </c>
      <c r="C454" s="201" t="n">
        <v>0</v>
      </c>
      <c r="D454" s="201" t="n">
        <v>0</v>
      </c>
      <c r="E454" s="201" t="n">
        <v>0</v>
      </c>
      <c r="F454" s="201" t="n">
        <v>0</v>
      </c>
      <c r="G454" s="201" t="n">
        <v>0</v>
      </c>
      <c r="H454" s="201" t="n">
        <v>0</v>
      </c>
      <c r="I454" s="201" t="n">
        <f aca="false">I453/I452</f>
        <v>-1</v>
      </c>
      <c r="J454" s="201" t="n">
        <v>0</v>
      </c>
      <c r="K454" s="201" t="n">
        <v>0</v>
      </c>
      <c r="L454" s="201" t="n">
        <v>0</v>
      </c>
      <c r="M454" s="201"/>
      <c r="N454" s="201"/>
      <c r="O454" s="201" t="n">
        <f aca="false">O453/O452</f>
        <v>2</v>
      </c>
    </row>
    <row r="455" customFormat="false" ht="12.75" hidden="false" customHeight="false" outlineLevel="0" collapsed="false">
      <c r="A455" s="198"/>
      <c r="B455" s="194" t="n">
        <v>2016</v>
      </c>
      <c r="C455" s="204" t="n">
        <v>0</v>
      </c>
      <c r="D455" s="204" t="n">
        <v>0</v>
      </c>
      <c r="E455" s="204" t="n">
        <v>0</v>
      </c>
      <c r="F455" s="204" t="n">
        <v>1</v>
      </c>
      <c r="G455" s="204" t="n">
        <v>0</v>
      </c>
      <c r="H455" s="204" t="n">
        <v>1</v>
      </c>
      <c r="I455" s="204" t="n">
        <v>0</v>
      </c>
      <c r="J455" s="204" t="n">
        <v>0</v>
      </c>
      <c r="K455" s="204" t="n">
        <v>1</v>
      </c>
      <c r="L455" s="204" t="n">
        <v>0</v>
      </c>
      <c r="M455" s="204"/>
      <c r="N455" s="204"/>
      <c r="O455" s="194" t="n">
        <f aca="false">SUM(C455:N455)</f>
        <v>3</v>
      </c>
    </row>
    <row r="456" customFormat="false" ht="12.75" hidden="false" customHeight="false" outlineLevel="0" collapsed="false">
      <c r="A456" s="203" t="s">
        <v>213</v>
      </c>
      <c r="B456" s="196" t="n">
        <v>2015</v>
      </c>
      <c r="C456" s="196" t="n">
        <v>0</v>
      </c>
      <c r="D456" s="196" t="n">
        <v>1</v>
      </c>
      <c r="E456" s="196" t="n">
        <v>0</v>
      </c>
      <c r="F456" s="196" t="n">
        <v>1</v>
      </c>
      <c r="G456" s="196" t="n">
        <v>1</v>
      </c>
      <c r="H456" s="196" t="n">
        <v>1</v>
      </c>
      <c r="I456" s="196" t="n">
        <v>0</v>
      </c>
      <c r="J456" s="196" t="n">
        <v>1</v>
      </c>
      <c r="K456" s="196" t="n">
        <v>1</v>
      </c>
      <c r="L456" s="196" t="n">
        <v>1</v>
      </c>
      <c r="M456" s="196"/>
      <c r="N456" s="196"/>
      <c r="O456" s="196" t="n">
        <f aca="false">SUM(C456:N456)</f>
        <v>7</v>
      </c>
    </row>
    <row r="457" customFormat="false" ht="12.75" hidden="false" customHeight="false" outlineLevel="0" collapsed="false">
      <c r="A457" s="195" t="s">
        <v>214</v>
      </c>
      <c r="B457" s="202" t="s">
        <v>210</v>
      </c>
      <c r="C457" s="196" t="n">
        <f aca="false">C455-C456</f>
        <v>0</v>
      </c>
      <c r="D457" s="196" t="n">
        <f aca="false">D455-D456</f>
        <v>-1</v>
      </c>
      <c r="E457" s="196" t="n">
        <f aca="false">E455-E456</f>
        <v>0</v>
      </c>
      <c r="F457" s="196" t="n">
        <f aca="false">F455-F456</f>
        <v>0</v>
      </c>
      <c r="G457" s="196" t="n">
        <f aca="false">G455-G456</f>
        <v>-1</v>
      </c>
      <c r="H457" s="196" t="n">
        <f aca="false">H455-H456</f>
        <v>0</v>
      </c>
      <c r="I457" s="196" t="n">
        <f aca="false">I455-I456</f>
        <v>0</v>
      </c>
      <c r="J457" s="196" t="n">
        <f aca="false">J455-J456</f>
        <v>-1</v>
      </c>
      <c r="K457" s="196" t="n">
        <f aca="false">K455-K456</f>
        <v>0</v>
      </c>
      <c r="L457" s="196" t="n">
        <f aca="false">L455-L456</f>
        <v>-1</v>
      </c>
      <c r="M457" s="196"/>
      <c r="N457" s="196"/>
      <c r="O457" s="196" t="n">
        <f aca="false">O455-O456</f>
        <v>-4</v>
      </c>
    </row>
    <row r="458" customFormat="false" ht="13.5" hidden="false" customHeight="false" outlineLevel="0" collapsed="false">
      <c r="A458" s="199"/>
      <c r="B458" s="200" t="s">
        <v>9</v>
      </c>
      <c r="C458" s="201" t="n">
        <v>0</v>
      </c>
      <c r="D458" s="201" t="n">
        <f aca="false">D457/D456</f>
        <v>-1</v>
      </c>
      <c r="E458" s="201" t="n">
        <v>0</v>
      </c>
      <c r="F458" s="201" t="n">
        <f aca="false">F457/F456</f>
        <v>0</v>
      </c>
      <c r="G458" s="201" t="n">
        <f aca="false">G457/G456</f>
        <v>-1</v>
      </c>
      <c r="H458" s="201" t="n">
        <f aca="false">H457/H456</f>
        <v>0</v>
      </c>
      <c r="I458" s="201" t="n">
        <v>0</v>
      </c>
      <c r="J458" s="201" t="n">
        <f aca="false">J457/J456</f>
        <v>-1</v>
      </c>
      <c r="K458" s="201" t="n">
        <f aca="false">K457/K456</f>
        <v>0</v>
      </c>
      <c r="L458" s="201" t="n">
        <v>0</v>
      </c>
      <c r="M458" s="201"/>
      <c r="N458" s="201"/>
      <c r="O458" s="201" t="n">
        <f aca="false">O457/O456</f>
        <v>-0.571428571428571</v>
      </c>
    </row>
    <row r="459" customFormat="false" ht="12.75" hidden="false" customHeight="false" outlineLevel="0" collapsed="false">
      <c r="A459" s="198"/>
      <c r="B459" s="194" t="n">
        <v>2016</v>
      </c>
      <c r="C459" s="204" t="n">
        <v>0</v>
      </c>
      <c r="D459" s="204" t="n">
        <v>0</v>
      </c>
      <c r="E459" s="204" t="n">
        <v>0</v>
      </c>
      <c r="F459" s="204" t="n">
        <v>0</v>
      </c>
      <c r="G459" s="204" t="n">
        <v>0</v>
      </c>
      <c r="H459" s="204" t="n">
        <v>0</v>
      </c>
      <c r="I459" s="204" t="n">
        <v>0</v>
      </c>
      <c r="J459" s="204" t="n">
        <v>0</v>
      </c>
      <c r="K459" s="204" t="n">
        <v>0</v>
      </c>
      <c r="L459" s="204" t="n">
        <v>0</v>
      </c>
      <c r="M459" s="204"/>
      <c r="N459" s="204"/>
      <c r="O459" s="194" t="n">
        <f aca="false">SUM(C459:N459)</f>
        <v>0</v>
      </c>
    </row>
    <row r="460" customFormat="false" ht="12.75" hidden="false" customHeight="false" outlineLevel="0" collapsed="false">
      <c r="A460" s="203" t="s">
        <v>215</v>
      </c>
      <c r="B460" s="196" t="n">
        <v>2015</v>
      </c>
      <c r="C460" s="196" t="n">
        <v>0</v>
      </c>
      <c r="D460" s="196" t="n">
        <v>0</v>
      </c>
      <c r="E460" s="196" t="n">
        <v>0</v>
      </c>
      <c r="F460" s="196" t="n">
        <v>0</v>
      </c>
      <c r="G460" s="196" t="n">
        <v>0</v>
      </c>
      <c r="H460" s="196" t="n">
        <v>0</v>
      </c>
      <c r="I460" s="196" t="n">
        <v>0</v>
      </c>
      <c r="J460" s="196" t="n">
        <v>0</v>
      </c>
      <c r="K460" s="196" t="n">
        <v>0</v>
      </c>
      <c r="L460" s="196" t="n">
        <v>0</v>
      </c>
      <c r="M460" s="196"/>
      <c r="N460" s="196"/>
      <c r="O460" s="196" t="n">
        <f aca="false">SUM(C460:N460)</f>
        <v>0</v>
      </c>
    </row>
    <row r="461" customFormat="false" ht="12.75" hidden="false" customHeight="false" outlineLevel="0" collapsed="false">
      <c r="A461" s="203" t="s">
        <v>216</v>
      </c>
      <c r="B461" s="202" t="s">
        <v>210</v>
      </c>
      <c r="C461" s="196" t="n">
        <f aca="false">C459-C460</f>
        <v>0</v>
      </c>
      <c r="D461" s="196" t="n">
        <f aca="false">D459-D460</f>
        <v>0</v>
      </c>
      <c r="E461" s="196" t="n">
        <f aca="false">E459-E460</f>
        <v>0</v>
      </c>
      <c r="F461" s="196" t="n">
        <f aca="false">F459-F460</f>
        <v>0</v>
      </c>
      <c r="G461" s="196" t="n">
        <f aca="false">G459-G460</f>
        <v>0</v>
      </c>
      <c r="H461" s="196" t="n">
        <f aca="false">H459-H460</f>
        <v>0</v>
      </c>
      <c r="I461" s="196" t="n">
        <f aca="false">I459-I460</f>
        <v>0</v>
      </c>
      <c r="J461" s="196" t="n">
        <f aca="false">J459-J460</f>
        <v>0</v>
      </c>
      <c r="K461" s="196" t="n">
        <f aca="false">K459-K460</f>
        <v>0</v>
      </c>
      <c r="L461" s="196" t="n">
        <f aca="false">L459-L460</f>
        <v>0</v>
      </c>
      <c r="M461" s="196"/>
      <c r="N461" s="196"/>
      <c r="O461" s="196" t="n">
        <f aca="false">O459-O460</f>
        <v>0</v>
      </c>
    </row>
    <row r="462" customFormat="false" ht="13.5" hidden="false" customHeight="false" outlineLevel="0" collapsed="false">
      <c r="A462" s="199"/>
      <c r="B462" s="200" t="s">
        <v>9</v>
      </c>
      <c r="C462" s="201" t="n">
        <v>0</v>
      </c>
      <c r="D462" s="201" t="n">
        <v>0</v>
      </c>
      <c r="E462" s="201" t="n">
        <v>0</v>
      </c>
      <c r="F462" s="201" t="n">
        <v>0</v>
      </c>
      <c r="G462" s="201" t="n">
        <v>0</v>
      </c>
      <c r="H462" s="201" t="n">
        <v>0</v>
      </c>
      <c r="I462" s="201" t="n">
        <v>0</v>
      </c>
      <c r="J462" s="201" t="n">
        <v>0</v>
      </c>
      <c r="K462" s="201" t="n">
        <v>0</v>
      </c>
      <c r="L462" s="201" t="n">
        <v>0</v>
      </c>
      <c r="M462" s="201"/>
      <c r="N462" s="201"/>
      <c r="O462" s="201" t="n">
        <v>0</v>
      </c>
    </row>
    <row r="463" customFormat="false" ht="12.75" hidden="false" customHeight="false" outlineLevel="0" collapsed="false">
      <c r="A463" s="198"/>
      <c r="B463" s="194" t="n">
        <v>2016</v>
      </c>
      <c r="C463" s="204" t="n">
        <v>1</v>
      </c>
      <c r="D463" s="204" t="n">
        <v>1</v>
      </c>
      <c r="E463" s="204" t="n">
        <v>1</v>
      </c>
      <c r="F463" s="204" t="n">
        <v>1</v>
      </c>
      <c r="G463" s="204" t="n">
        <v>0</v>
      </c>
      <c r="H463" s="204" t="n">
        <v>0</v>
      </c>
      <c r="I463" s="204" t="n">
        <v>0</v>
      </c>
      <c r="J463" s="204" t="n">
        <v>0</v>
      </c>
      <c r="K463" s="204" t="n">
        <v>3</v>
      </c>
      <c r="L463" s="204" t="n">
        <v>0</v>
      </c>
      <c r="M463" s="204"/>
      <c r="N463" s="204"/>
      <c r="O463" s="194" t="n">
        <f aca="false">SUM(C463:N463)</f>
        <v>7</v>
      </c>
    </row>
    <row r="464" customFormat="false" ht="12.75" hidden="false" customHeight="false" outlineLevel="0" collapsed="false">
      <c r="A464" s="195" t="s">
        <v>217</v>
      </c>
      <c r="B464" s="196" t="n">
        <v>2015</v>
      </c>
      <c r="C464" s="196" t="n">
        <v>3</v>
      </c>
      <c r="D464" s="196" t="n">
        <v>0</v>
      </c>
      <c r="E464" s="196" t="n">
        <v>2</v>
      </c>
      <c r="F464" s="196" t="n">
        <v>2</v>
      </c>
      <c r="G464" s="196" t="n">
        <v>2</v>
      </c>
      <c r="H464" s="196" t="n">
        <v>3</v>
      </c>
      <c r="I464" s="196" t="n">
        <v>0</v>
      </c>
      <c r="J464" s="196" t="n">
        <v>0</v>
      </c>
      <c r="K464" s="196" t="n">
        <v>1</v>
      </c>
      <c r="L464" s="196" t="n">
        <v>0</v>
      </c>
      <c r="M464" s="196"/>
      <c r="N464" s="196"/>
      <c r="O464" s="196" t="n">
        <f aca="false">SUM(C464:N464)</f>
        <v>13</v>
      </c>
    </row>
    <row r="465" customFormat="false" ht="12.75" hidden="false" customHeight="false" outlineLevel="0" collapsed="false">
      <c r="A465" s="198"/>
      <c r="B465" s="202" t="s">
        <v>210</v>
      </c>
      <c r="C465" s="196" t="n">
        <f aca="false">C463-C464</f>
        <v>-2</v>
      </c>
      <c r="D465" s="196" t="n">
        <f aca="false">D463-D464</f>
        <v>1</v>
      </c>
      <c r="E465" s="196" t="n">
        <f aca="false">E463-E464</f>
        <v>-1</v>
      </c>
      <c r="F465" s="196" t="n">
        <f aca="false">F463-F464</f>
        <v>-1</v>
      </c>
      <c r="G465" s="196" t="n">
        <f aca="false">G463-G464</f>
        <v>-2</v>
      </c>
      <c r="H465" s="196" t="n">
        <f aca="false">H463-H464</f>
        <v>-3</v>
      </c>
      <c r="I465" s="196" t="n">
        <f aca="false">I463-I464</f>
        <v>0</v>
      </c>
      <c r="J465" s="196" t="n">
        <f aca="false">J463-J464</f>
        <v>0</v>
      </c>
      <c r="K465" s="196" t="n">
        <f aca="false">K463-K464</f>
        <v>2</v>
      </c>
      <c r="L465" s="196" t="n">
        <f aca="false">L463-L464</f>
        <v>0</v>
      </c>
      <c r="M465" s="196"/>
      <c r="N465" s="196"/>
      <c r="O465" s="196" t="n">
        <f aca="false">O463-O464</f>
        <v>-6</v>
      </c>
    </row>
    <row r="466" customFormat="false" ht="13.5" hidden="false" customHeight="false" outlineLevel="0" collapsed="false">
      <c r="A466" s="199"/>
      <c r="B466" s="200" t="s">
        <v>9</v>
      </c>
      <c r="C466" s="201" t="n">
        <f aca="false">C465/C464</f>
        <v>-0.666666666666667</v>
      </c>
      <c r="D466" s="201" t="n">
        <v>0</v>
      </c>
      <c r="E466" s="201" t="n">
        <f aca="false">E465/E464</f>
        <v>-0.5</v>
      </c>
      <c r="F466" s="201" t="n">
        <f aca="false">F465/F464</f>
        <v>-0.5</v>
      </c>
      <c r="G466" s="201" t="n">
        <f aca="false">G465/G464</f>
        <v>-1</v>
      </c>
      <c r="H466" s="201" t="n">
        <f aca="false">H465/H464</f>
        <v>-1</v>
      </c>
      <c r="I466" s="201" t="n">
        <v>0</v>
      </c>
      <c r="J466" s="201" t="n">
        <v>0</v>
      </c>
      <c r="K466" s="201" t="n">
        <f aca="false">K465/K464</f>
        <v>2</v>
      </c>
      <c r="L466" s="201" t="n">
        <v>0</v>
      </c>
      <c r="M466" s="201"/>
      <c r="N466" s="201"/>
      <c r="O466" s="201" t="n">
        <f aca="false">O465/O464</f>
        <v>-0.461538461538462</v>
      </c>
    </row>
    <row r="467" customFormat="false" ht="12.75" hidden="false" customHeight="false" outlineLevel="0" collapsed="false">
      <c r="A467" s="198"/>
      <c r="B467" s="194" t="n">
        <v>2016</v>
      </c>
      <c r="C467" s="204" t="n">
        <v>15</v>
      </c>
      <c r="D467" s="204" t="n">
        <v>9</v>
      </c>
      <c r="E467" s="204" t="n">
        <v>6</v>
      </c>
      <c r="F467" s="204" t="n">
        <v>6</v>
      </c>
      <c r="G467" s="204" t="n">
        <v>7</v>
      </c>
      <c r="H467" s="204" t="n">
        <v>10</v>
      </c>
      <c r="I467" s="204" t="n">
        <v>8</v>
      </c>
      <c r="J467" s="204" t="n">
        <v>10</v>
      </c>
      <c r="K467" s="204" t="n">
        <v>7</v>
      </c>
      <c r="L467" s="204" t="n">
        <v>15</v>
      </c>
      <c r="M467" s="204"/>
      <c r="N467" s="204"/>
      <c r="O467" s="194" t="n">
        <f aca="false">SUM(C467:N467)</f>
        <v>93</v>
      </c>
    </row>
    <row r="468" customFormat="false" ht="12.75" hidden="false" customHeight="false" outlineLevel="0" collapsed="false">
      <c r="A468" s="195" t="s">
        <v>218</v>
      </c>
      <c r="B468" s="196" t="n">
        <v>2015</v>
      </c>
      <c r="C468" s="196" t="n">
        <v>4</v>
      </c>
      <c r="D468" s="196" t="n">
        <v>8</v>
      </c>
      <c r="E468" s="196" t="n">
        <v>11</v>
      </c>
      <c r="F468" s="196" t="n">
        <v>8</v>
      </c>
      <c r="G468" s="196" t="n">
        <v>4</v>
      </c>
      <c r="H468" s="196" t="n">
        <v>6</v>
      </c>
      <c r="I468" s="196" t="n">
        <v>5</v>
      </c>
      <c r="J468" s="196" t="n">
        <v>7</v>
      </c>
      <c r="K468" s="196" t="n">
        <v>7</v>
      </c>
      <c r="L468" s="196" t="n">
        <v>12</v>
      </c>
      <c r="M468" s="196"/>
      <c r="N468" s="196"/>
      <c r="O468" s="196" t="n">
        <f aca="false">SUM(C468:N468)</f>
        <v>72</v>
      </c>
    </row>
    <row r="469" customFormat="false" ht="12.75" hidden="false" customHeight="false" outlineLevel="0" collapsed="false">
      <c r="A469" s="195" t="s">
        <v>219</v>
      </c>
      <c r="B469" s="202" t="s">
        <v>210</v>
      </c>
      <c r="C469" s="196" t="n">
        <f aca="false">C467-C468</f>
        <v>11</v>
      </c>
      <c r="D469" s="196" t="n">
        <f aca="false">D467-D468</f>
        <v>1</v>
      </c>
      <c r="E469" s="196" t="n">
        <f aca="false">E467-E468</f>
        <v>-5</v>
      </c>
      <c r="F469" s="196" t="n">
        <f aca="false">F467-F468</f>
        <v>-2</v>
      </c>
      <c r="G469" s="196" t="n">
        <f aca="false">G467-G468</f>
        <v>3</v>
      </c>
      <c r="H469" s="196" t="n">
        <f aca="false">H467-H468</f>
        <v>4</v>
      </c>
      <c r="I469" s="196" t="n">
        <f aca="false">I467-I468</f>
        <v>3</v>
      </c>
      <c r="J469" s="196" t="n">
        <f aca="false">J467-J468</f>
        <v>3</v>
      </c>
      <c r="K469" s="196" t="n">
        <f aca="false">K467-K468</f>
        <v>0</v>
      </c>
      <c r="L469" s="196" t="n">
        <f aca="false">L467-L468</f>
        <v>3</v>
      </c>
      <c r="M469" s="196"/>
      <c r="N469" s="196"/>
      <c r="O469" s="196" t="n">
        <f aca="false">O467-O468</f>
        <v>21</v>
      </c>
    </row>
    <row r="470" customFormat="false" ht="13.5" hidden="false" customHeight="false" outlineLevel="0" collapsed="false">
      <c r="A470" s="199" t="s">
        <v>2</v>
      </c>
      <c r="B470" s="200" t="s">
        <v>9</v>
      </c>
      <c r="C470" s="201" t="n">
        <f aca="false">C469/C468</f>
        <v>2.75</v>
      </c>
      <c r="D470" s="201" t="n">
        <f aca="false">D469/D468</f>
        <v>0.125</v>
      </c>
      <c r="E470" s="201" t="n">
        <f aca="false">E469/E468</f>
        <v>-0.454545454545455</v>
      </c>
      <c r="F470" s="201" t="n">
        <f aca="false">F469/F468</f>
        <v>-0.25</v>
      </c>
      <c r="G470" s="201" t="n">
        <f aca="false">G469/G468</f>
        <v>0.75</v>
      </c>
      <c r="H470" s="201" t="n">
        <f aca="false">H469/H468</f>
        <v>0.666666666666667</v>
      </c>
      <c r="I470" s="201" t="n">
        <f aca="false">I469/I468</f>
        <v>0.6</v>
      </c>
      <c r="J470" s="201" t="n">
        <f aca="false">J469/J468</f>
        <v>0.428571428571429</v>
      </c>
      <c r="K470" s="201" t="n">
        <f aca="false">K469/K468</f>
        <v>0</v>
      </c>
      <c r="L470" s="201" t="n">
        <v>0</v>
      </c>
      <c r="M470" s="201"/>
      <c r="N470" s="201"/>
      <c r="O470" s="201" t="n">
        <f aca="false">O469/O468</f>
        <v>0.291666666666667</v>
      </c>
    </row>
    <row r="471" customFormat="false" ht="12.75" hidden="false" customHeight="false" outlineLevel="0" collapsed="false">
      <c r="A471" s="198"/>
      <c r="B471" s="194" t="n">
        <v>2016</v>
      </c>
      <c r="C471" s="204" t="n">
        <v>16</v>
      </c>
      <c r="D471" s="204" t="n">
        <v>15</v>
      </c>
      <c r="E471" s="204" t="n">
        <v>11</v>
      </c>
      <c r="F471" s="204" t="n">
        <v>13</v>
      </c>
      <c r="G471" s="204" t="n">
        <v>18</v>
      </c>
      <c r="H471" s="204" t="n">
        <v>14</v>
      </c>
      <c r="I471" s="204" t="n">
        <v>15</v>
      </c>
      <c r="J471" s="204" t="n">
        <v>16</v>
      </c>
      <c r="K471" s="204" t="n">
        <v>17</v>
      </c>
      <c r="L471" s="204" t="n">
        <v>14</v>
      </c>
      <c r="M471" s="204"/>
      <c r="N471" s="204"/>
      <c r="O471" s="194" t="n">
        <f aca="false">SUM(C471:N471)</f>
        <v>149</v>
      </c>
    </row>
    <row r="472" customFormat="false" ht="12.75" hidden="false" customHeight="false" outlineLevel="0" collapsed="false">
      <c r="A472" s="195" t="s">
        <v>220</v>
      </c>
      <c r="B472" s="196" t="n">
        <v>2015</v>
      </c>
      <c r="C472" s="196" t="n">
        <v>30</v>
      </c>
      <c r="D472" s="196" t="n">
        <v>20</v>
      </c>
      <c r="E472" s="196" t="n">
        <v>21</v>
      </c>
      <c r="F472" s="196" t="n">
        <v>29</v>
      </c>
      <c r="G472" s="196" t="n">
        <v>16</v>
      </c>
      <c r="H472" s="196" t="n">
        <v>20</v>
      </c>
      <c r="I472" s="196" t="n">
        <v>19</v>
      </c>
      <c r="J472" s="196" t="n">
        <v>17</v>
      </c>
      <c r="K472" s="196" t="n">
        <v>19</v>
      </c>
      <c r="L472" s="196" t="n">
        <v>16</v>
      </c>
      <c r="M472" s="196"/>
      <c r="N472" s="196"/>
      <c r="O472" s="196" t="n">
        <f aca="false">SUM(C472:N472)</f>
        <v>207</v>
      </c>
    </row>
    <row r="473" customFormat="false" ht="12.75" hidden="false" customHeight="false" outlineLevel="0" collapsed="false">
      <c r="A473" s="198"/>
      <c r="B473" s="202" t="s">
        <v>210</v>
      </c>
      <c r="C473" s="196" t="n">
        <f aca="false">C471-C472</f>
        <v>-14</v>
      </c>
      <c r="D473" s="196" t="n">
        <f aca="false">D471-D472</f>
        <v>-5</v>
      </c>
      <c r="E473" s="196" t="n">
        <f aca="false">E471-E472</f>
        <v>-10</v>
      </c>
      <c r="F473" s="196" t="n">
        <f aca="false">F471-F472</f>
        <v>-16</v>
      </c>
      <c r="G473" s="196" t="n">
        <f aca="false">G471-G472</f>
        <v>2</v>
      </c>
      <c r="H473" s="196" t="n">
        <f aca="false">H471-H472</f>
        <v>-6</v>
      </c>
      <c r="I473" s="196" t="n">
        <f aca="false">I471-I472</f>
        <v>-4</v>
      </c>
      <c r="J473" s="196" t="n">
        <f aca="false">J471-J472</f>
        <v>-1</v>
      </c>
      <c r="K473" s="196" t="n">
        <f aca="false">K471-K472</f>
        <v>-2</v>
      </c>
      <c r="L473" s="196" t="n">
        <f aca="false">L471-L472</f>
        <v>-2</v>
      </c>
      <c r="M473" s="196"/>
      <c r="N473" s="196"/>
      <c r="O473" s="196" t="n">
        <f aca="false">O471-O472</f>
        <v>-58</v>
      </c>
    </row>
    <row r="474" customFormat="false" ht="13.5" hidden="false" customHeight="false" outlineLevel="0" collapsed="false">
      <c r="A474" s="199"/>
      <c r="B474" s="200" t="s">
        <v>9</v>
      </c>
      <c r="C474" s="201" t="n">
        <f aca="false">C473/C472</f>
        <v>-0.466666666666667</v>
      </c>
      <c r="D474" s="201" t="n">
        <f aca="false">D473/D472</f>
        <v>-0.25</v>
      </c>
      <c r="E474" s="201" t="n">
        <f aca="false">E473/E472</f>
        <v>-0.476190476190476</v>
      </c>
      <c r="F474" s="201" t="n">
        <f aca="false">F473/F472</f>
        <v>-0.551724137931035</v>
      </c>
      <c r="G474" s="201" t="n">
        <f aca="false">G473/G472</f>
        <v>0.125</v>
      </c>
      <c r="H474" s="201" t="n">
        <f aca="false">H473/H472</f>
        <v>-0.3</v>
      </c>
      <c r="I474" s="201" t="n">
        <f aca="false">I473/I472</f>
        <v>-0.210526315789474</v>
      </c>
      <c r="J474" s="201" t="n">
        <f aca="false">J473/J472</f>
        <v>-0.0588235294117647</v>
      </c>
      <c r="K474" s="201" t="n">
        <f aca="false">K473/K472</f>
        <v>-0.105263157894737</v>
      </c>
      <c r="L474" s="201" t="n">
        <v>0</v>
      </c>
      <c r="M474" s="201"/>
      <c r="N474" s="201"/>
      <c r="O474" s="201" t="n">
        <f aca="false">O473/O472</f>
        <v>-0.280193236714976</v>
      </c>
    </row>
    <row r="475" customFormat="false" ht="12.75" hidden="false" customHeight="false" outlineLevel="0" collapsed="false">
      <c r="A475" s="198"/>
      <c r="B475" s="194" t="n">
        <v>2016</v>
      </c>
      <c r="C475" s="204" t="n">
        <v>25</v>
      </c>
      <c r="D475" s="204" t="n">
        <v>31</v>
      </c>
      <c r="E475" s="204" t="n">
        <v>22</v>
      </c>
      <c r="F475" s="204" t="n">
        <v>31</v>
      </c>
      <c r="G475" s="204" t="n">
        <v>27</v>
      </c>
      <c r="H475" s="204" t="n">
        <v>24</v>
      </c>
      <c r="I475" s="204" t="n">
        <v>25</v>
      </c>
      <c r="J475" s="204" t="n">
        <v>31</v>
      </c>
      <c r="K475" s="204" t="n">
        <v>29</v>
      </c>
      <c r="L475" s="204" t="n">
        <v>22</v>
      </c>
      <c r="M475" s="204"/>
      <c r="N475" s="204"/>
      <c r="O475" s="194" t="n">
        <f aca="false">SUM(C475:N475)</f>
        <v>267</v>
      </c>
    </row>
    <row r="476" customFormat="false" ht="12.75" hidden="false" customHeight="false" outlineLevel="0" collapsed="false">
      <c r="A476" s="195" t="s">
        <v>221</v>
      </c>
      <c r="B476" s="196" t="n">
        <v>2015</v>
      </c>
      <c r="C476" s="196" t="n">
        <v>37</v>
      </c>
      <c r="D476" s="196" t="n">
        <v>25</v>
      </c>
      <c r="E476" s="196" t="n">
        <v>24</v>
      </c>
      <c r="F476" s="196" t="n">
        <v>29</v>
      </c>
      <c r="G476" s="196" t="n">
        <v>29</v>
      </c>
      <c r="H476" s="196" t="n">
        <v>25</v>
      </c>
      <c r="I476" s="196" t="n">
        <v>21</v>
      </c>
      <c r="J476" s="196" t="n">
        <v>20</v>
      </c>
      <c r="K476" s="196" t="n">
        <v>22</v>
      </c>
      <c r="L476" s="196" t="n">
        <v>21</v>
      </c>
      <c r="M476" s="196"/>
      <c r="N476" s="196"/>
      <c r="O476" s="196" t="n">
        <f aca="false">SUM(C476:N476)</f>
        <v>253</v>
      </c>
    </row>
    <row r="477" customFormat="false" ht="12.75" hidden="false" customHeight="false" outlineLevel="0" collapsed="false">
      <c r="A477" s="195" t="s">
        <v>222</v>
      </c>
      <c r="B477" s="202" t="s">
        <v>210</v>
      </c>
      <c r="C477" s="196" t="n">
        <f aca="false">C475-C476</f>
        <v>-12</v>
      </c>
      <c r="D477" s="196" t="n">
        <f aca="false">D475-D476</f>
        <v>6</v>
      </c>
      <c r="E477" s="196" t="n">
        <f aca="false">E475-E476</f>
        <v>-2</v>
      </c>
      <c r="F477" s="196" t="n">
        <f aca="false">F475-F476</f>
        <v>2</v>
      </c>
      <c r="G477" s="196" t="n">
        <f aca="false">G475-G476</f>
        <v>-2</v>
      </c>
      <c r="H477" s="196" t="n">
        <f aca="false">H475-H476</f>
        <v>-1</v>
      </c>
      <c r="I477" s="196" t="n">
        <f aca="false">I475-I476</f>
        <v>4</v>
      </c>
      <c r="J477" s="196" t="n">
        <f aca="false">J475-J476</f>
        <v>11</v>
      </c>
      <c r="K477" s="196" t="n">
        <f aca="false">K475-K476</f>
        <v>7</v>
      </c>
      <c r="L477" s="196" t="n">
        <f aca="false">L475-L476</f>
        <v>1</v>
      </c>
      <c r="M477" s="196"/>
      <c r="N477" s="196"/>
      <c r="O477" s="196" t="n">
        <f aca="false">O475-O476</f>
        <v>14</v>
      </c>
    </row>
    <row r="478" customFormat="false" ht="13.5" hidden="false" customHeight="false" outlineLevel="0" collapsed="false">
      <c r="A478" s="199"/>
      <c r="B478" s="200" t="s">
        <v>9</v>
      </c>
      <c r="C478" s="201" t="n">
        <f aca="false">C477/C476</f>
        <v>-0.324324324324324</v>
      </c>
      <c r="D478" s="201" t="n">
        <f aca="false">D477/D476</f>
        <v>0.24</v>
      </c>
      <c r="E478" s="201" t="n">
        <f aca="false">E477/E476</f>
        <v>-0.0833333333333333</v>
      </c>
      <c r="F478" s="201" t="n">
        <f aca="false">F477/F476</f>
        <v>0.0689655172413793</v>
      </c>
      <c r="G478" s="201" t="n">
        <f aca="false">G477/G476</f>
        <v>-0.0689655172413793</v>
      </c>
      <c r="H478" s="201" t="n">
        <f aca="false">H477/H476</f>
        <v>-0.04</v>
      </c>
      <c r="I478" s="201" t="n">
        <f aca="false">I477/I476</f>
        <v>0.19047619047619</v>
      </c>
      <c r="J478" s="201" t="n">
        <f aca="false">J477/J476</f>
        <v>0.55</v>
      </c>
      <c r="K478" s="201" t="n">
        <f aca="false">K477/K476</f>
        <v>0.318181818181818</v>
      </c>
      <c r="L478" s="201" t="n">
        <v>0</v>
      </c>
      <c r="M478" s="201"/>
      <c r="N478" s="201"/>
      <c r="O478" s="201" t="n">
        <f aca="false">O477/O476</f>
        <v>0.0553359683794466</v>
      </c>
    </row>
    <row r="479" customFormat="false" ht="12.75" hidden="false" customHeight="false" outlineLevel="0" collapsed="false">
      <c r="A479" s="198"/>
      <c r="B479" s="194" t="n">
        <v>2016</v>
      </c>
      <c r="C479" s="204" t="n">
        <v>0</v>
      </c>
      <c r="D479" s="204" t="n">
        <v>0</v>
      </c>
      <c r="E479" s="204" t="n">
        <v>3</v>
      </c>
      <c r="F479" s="204" t="n">
        <v>2</v>
      </c>
      <c r="G479" s="204" t="n">
        <v>3</v>
      </c>
      <c r="H479" s="204" t="n">
        <v>3</v>
      </c>
      <c r="I479" s="204" t="n">
        <v>1</v>
      </c>
      <c r="J479" s="204" t="n">
        <v>2</v>
      </c>
      <c r="K479" s="204" t="n">
        <v>2</v>
      </c>
      <c r="L479" s="204" t="n">
        <v>3</v>
      </c>
      <c r="M479" s="204"/>
      <c r="N479" s="204"/>
      <c r="O479" s="194" t="n">
        <f aca="false">SUM(C479:N479)</f>
        <v>19</v>
      </c>
    </row>
    <row r="480" customFormat="false" ht="12.75" hidden="false" customHeight="false" outlineLevel="0" collapsed="false">
      <c r="A480" s="195" t="s">
        <v>223</v>
      </c>
      <c r="B480" s="196" t="n">
        <v>2015</v>
      </c>
      <c r="C480" s="196" t="n">
        <v>1</v>
      </c>
      <c r="D480" s="196" t="n">
        <v>0</v>
      </c>
      <c r="E480" s="196" t="n">
        <v>0</v>
      </c>
      <c r="F480" s="196" t="n">
        <v>1</v>
      </c>
      <c r="G480" s="196" t="n">
        <v>0</v>
      </c>
      <c r="H480" s="196" t="n">
        <v>2</v>
      </c>
      <c r="I480" s="196" t="n">
        <v>1</v>
      </c>
      <c r="J480" s="196" t="n">
        <v>1</v>
      </c>
      <c r="K480" s="196" t="n">
        <v>3</v>
      </c>
      <c r="L480" s="196" t="n">
        <v>1</v>
      </c>
      <c r="M480" s="196"/>
      <c r="N480" s="196"/>
      <c r="O480" s="196" t="n">
        <f aca="false">SUM(C480:N480)</f>
        <v>10</v>
      </c>
    </row>
    <row r="481" customFormat="false" ht="12.75" hidden="false" customHeight="false" outlineLevel="0" collapsed="false">
      <c r="A481" s="195" t="s">
        <v>224</v>
      </c>
      <c r="B481" s="202" t="s">
        <v>210</v>
      </c>
      <c r="C481" s="196" t="n">
        <f aca="false">C479-C480</f>
        <v>-1</v>
      </c>
      <c r="D481" s="196" t="n">
        <f aca="false">D479-D480</f>
        <v>0</v>
      </c>
      <c r="E481" s="196" t="n">
        <f aca="false">E479-E480</f>
        <v>3</v>
      </c>
      <c r="F481" s="196" t="n">
        <f aca="false">F479-F480</f>
        <v>1</v>
      </c>
      <c r="G481" s="196" t="n">
        <f aca="false">G479-G480</f>
        <v>3</v>
      </c>
      <c r="H481" s="196" t="n">
        <f aca="false">H479-H480</f>
        <v>1</v>
      </c>
      <c r="I481" s="196" t="n">
        <f aca="false">I479-I480</f>
        <v>0</v>
      </c>
      <c r="J481" s="196" t="n">
        <f aca="false">J479-J480</f>
        <v>1</v>
      </c>
      <c r="K481" s="196" t="n">
        <f aca="false">K479-K480</f>
        <v>-1</v>
      </c>
      <c r="L481" s="196" t="n">
        <f aca="false">L479-L480</f>
        <v>2</v>
      </c>
      <c r="M481" s="196"/>
      <c r="N481" s="196"/>
      <c r="O481" s="196" t="n">
        <f aca="false">O479-O480</f>
        <v>9</v>
      </c>
    </row>
    <row r="482" customFormat="false" ht="13.5" hidden="false" customHeight="false" outlineLevel="0" collapsed="false">
      <c r="A482" s="199"/>
      <c r="B482" s="200" t="s">
        <v>9</v>
      </c>
      <c r="C482" s="201" t="n">
        <f aca="false">C481/C480</f>
        <v>-1</v>
      </c>
      <c r="D482" s="201" t="n">
        <v>0</v>
      </c>
      <c r="E482" s="201" t="n">
        <v>0</v>
      </c>
      <c r="F482" s="201" t="n">
        <f aca="false">F481/F480</f>
        <v>1</v>
      </c>
      <c r="G482" s="201" t="n">
        <v>0</v>
      </c>
      <c r="H482" s="201" t="n">
        <f aca="false">H481/H480</f>
        <v>0.5</v>
      </c>
      <c r="I482" s="201" t="n">
        <f aca="false">I481/I480</f>
        <v>0</v>
      </c>
      <c r="J482" s="201" t="n">
        <f aca="false">J481/J480</f>
        <v>1</v>
      </c>
      <c r="K482" s="201" t="n">
        <f aca="false">K481/K480</f>
        <v>-0.333333333333333</v>
      </c>
      <c r="L482" s="201" t="n">
        <v>0</v>
      </c>
      <c r="M482" s="201"/>
      <c r="N482" s="201"/>
      <c r="O482" s="201" t="n">
        <f aca="false">O481/O480</f>
        <v>0.9</v>
      </c>
    </row>
    <row r="485" customFormat="false" ht="13.5" hidden="false" customHeight="false" outlineLevel="0" collapsed="false">
      <c r="A485" s="210" t="s">
        <v>179</v>
      </c>
      <c r="B485" s="209"/>
      <c r="C485" s="209"/>
    </row>
    <row r="486" customFormat="false" ht="13.5" hidden="false" customHeight="false" outlineLevel="0" collapsed="false">
      <c r="A486" s="0" t="s">
        <v>2</v>
      </c>
      <c r="B486" s="192" t="s">
        <v>196</v>
      </c>
      <c r="C486" s="192" t="s">
        <v>197</v>
      </c>
      <c r="D486" s="192" t="s">
        <v>198</v>
      </c>
      <c r="E486" s="192" t="s">
        <v>199</v>
      </c>
      <c r="F486" s="192" t="s">
        <v>200</v>
      </c>
      <c r="G486" s="192" t="s">
        <v>201</v>
      </c>
      <c r="H486" s="192" t="s">
        <v>202</v>
      </c>
      <c r="I486" s="192" t="s">
        <v>203</v>
      </c>
      <c r="J486" s="192" t="s">
        <v>204</v>
      </c>
      <c r="K486" s="192" t="s">
        <v>205</v>
      </c>
      <c r="L486" s="192" t="s">
        <v>206</v>
      </c>
      <c r="M486" s="192" t="s">
        <v>207</v>
      </c>
      <c r="N486" s="211" t="s">
        <v>208</v>
      </c>
      <c r="O486" s="192" t="s">
        <v>52</v>
      </c>
    </row>
    <row r="487" customFormat="false" ht="12.75" hidden="false" customHeight="false" outlineLevel="0" collapsed="false">
      <c r="A487" s="193"/>
      <c r="B487" s="194" t="n">
        <v>2016</v>
      </c>
      <c r="C487" s="194" t="n">
        <f aca="false">SUM(C491+C495+C503+C507+C511+C515+C519)</f>
        <v>122</v>
      </c>
      <c r="D487" s="194" t="n">
        <f aca="false">SUM(D491+D495+D503+D507+D511+D515+D519)</f>
        <v>133</v>
      </c>
      <c r="E487" s="194" t="n">
        <f aca="false">SUM(E491+E495+E503+E507+E511+E515+E519)</f>
        <v>85</v>
      </c>
      <c r="F487" s="194" t="n">
        <f aca="false">SUM(F491+F495+F503+F507+F511+F515+F519)</f>
        <v>127</v>
      </c>
      <c r="G487" s="194" t="n">
        <f aca="false">SUM(G491+G495+G503+G507+G511+G515+G519)</f>
        <v>124</v>
      </c>
      <c r="H487" s="194" t="n">
        <f aca="false">SUM(H491+H495+H503+H507+H511+H515+H519)</f>
        <v>126</v>
      </c>
      <c r="I487" s="194" t="n">
        <f aca="false">SUM(I491+I495+I503+I507+I511+I515+I519)</f>
        <v>122</v>
      </c>
      <c r="J487" s="194" t="n">
        <f aca="false">SUM(J491+J495+J503+J507+J511+J515+J519)</f>
        <v>105</v>
      </c>
      <c r="K487" s="194" t="n">
        <f aca="false">SUM(K491+K495+K503+K507+K511+K515+K519)</f>
        <v>119</v>
      </c>
      <c r="L487" s="194" t="n">
        <f aca="false">SUM(L491+L495+L503+L507+L511+L515+L519)</f>
        <v>98</v>
      </c>
      <c r="M487" s="194"/>
      <c r="N487" s="212"/>
      <c r="O487" s="194" t="n">
        <f aca="false">SUM(O491+O495+O503+O507+O511+O515+O519)</f>
        <v>1161</v>
      </c>
    </row>
    <row r="488" customFormat="false" ht="12.75" hidden="false" customHeight="false" outlineLevel="0" collapsed="false">
      <c r="A488" s="195" t="s">
        <v>52</v>
      </c>
      <c r="B488" s="196" t="n">
        <v>2015</v>
      </c>
      <c r="C488" s="196" t="n">
        <f aca="false">SUM(C492+C496+C500+C504+C508+C512+C516+C520)</f>
        <v>137</v>
      </c>
      <c r="D488" s="196" t="n">
        <f aca="false">SUM(D492+D496+D500+D504+D508+D512+D516+D520)</f>
        <v>121</v>
      </c>
      <c r="E488" s="196" t="n">
        <f aca="false">SUM(E492+E496+E500+E504+E508+E512+E516+E520)</f>
        <v>131</v>
      </c>
      <c r="F488" s="196" t="n">
        <f aca="false">SUM(F492+F496+F500+F504+F508+F512+F516+F520)</f>
        <v>101</v>
      </c>
      <c r="G488" s="196" t="n">
        <f aca="false">SUM(G492+G496+G500+G504+G508+G512+G516+G520)</f>
        <v>120</v>
      </c>
      <c r="H488" s="196" t="n">
        <f aca="false">SUM(H492+H496+H500+H504+H508+H512+H516+H520)</f>
        <v>102</v>
      </c>
      <c r="I488" s="196" t="n">
        <f aca="false">SUM(I492+I496+I500+I504+I508+I512+I516+I520)</f>
        <v>107</v>
      </c>
      <c r="J488" s="196" t="n">
        <f aca="false">SUM(J492+J496+J500+J504+J508+J512+J516+J520)</f>
        <v>131</v>
      </c>
      <c r="K488" s="196" t="n">
        <f aca="false">SUM(K492+K496+K500+K504+K508+K512+K516+K520)</f>
        <v>119</v>
      </c>
      <c r="L488" s="196" t="n">
        <f aca="false">SUM(L492+L496+L500+L504+L508+L512+L516+L520)</f>
        <v>139</v>
      </c>
      <c r="M488" s="196"/>
      <c r="N488" s="213"/>
      <c r="O488" s="196" t="n">
        <f aca="false">SUM(C488:N488)</f>
        <v>1208</v>
      </c>
    </row>
    <row r="489" customFormat="false" ht="12.75" hidden="false" customHeight="false" outlineLevel="0" collapsed="false">
      <c r="A489" s="195" t="s">
        <v>209</v>
      </c>
      <c r="B489" s="197" t="s">
        <v>210</v>
      </c>
      <c r="C489" s="196" t="n">
        <f aca="false">C487-C488</f>
        <v>-15</v>
      </c>
      <c r="D489" s="196" t="n">
        <f aca="false">D487-D488</f>
        <v>12</v>
      </c>
      <c r="E489" s="196" t="n">
        <f aca="false">E487-E488</f>
        <v>-46</v>
      </c>
      <c r="F489" s="196" t="n">
        <f aca="false">F487-F488</f>
        <v>26</v>
      </c>
      <c r="G489" s="196" t="n">
        <f aca="false">G487-G488</f>
        <v>4</v>
      </c>
      <c r="H489" s="196" t="n">
        <f aca="false">H487-H488</f>
        <v>24</v>
      </c>
      <c r="I489" s="196" t="n">
        <f aca="false">I487-I488</f>
        <v>15</v>
      </c>
      <c r="J489" s="196" t="n">
        <f aca="false">J487-J488</f>
        <v>-26</v>
      </c>
      <c r="K489" s="196" t="n">
        <f aca="false">K487-K488</f>
        <v>0</v>
      </c>
      <c r="L489" s="196" t="n">
        <f aca="false">L487-L488</f>
        <v>-41</v>
      </c>
      <c r="M489" s="196"/>
      <c r="N489" s="213"/>
      <c r="O489" s="196" t="n">
        <f aca="false">O487-O488</f>
        <v>-47</v>
      </c>
    </row>
    <row r="490" customFormat="false" ht="13.5" hidden="false" customHeight="false" outlineLevel="0" collapsed="false">
      <c r="A490" s="199"/>
      <c r="B490" s="200" t="s">
        <v>9</v>
      </c>
      <c r="C490" s="201" t="n">
        <f aca="false">C489/C488</f>
        <v>-0.109489051094891</v>
      </c>
      <c r="D490" s="201" t="n">
        <f aca="false">D489/D488</f>
        <v>0.0991735537190083</v>
      </c>
      <c r="E490" s="201" t="n">
        <f aca="false">E489/E488</f>
        <v>-0.351145038167939</v>
      </c>
      <c r="F490" s="201" t="n">
        <f aca="false">F489/F488</f>
        <v>0.257425742574257</v>
      </c>
      <c r="G490" s="201" t="n">
        <f aca="false">G489/G488</f>
        <v>0.0333333333333333</v>
      </c>
      <c r="H490" s="201" t="n">
        <f aca="false">H489/H488</f>
        <v>0.235294117647059</v>
      </c>
      <c r="I490" s="201" t="n">
        <f aca="false">I489/I488</f>
        <v>0.14018691588785</v>
      </c>
      <c r="J490" s="201" t="n">
        <f aca="false">J489/J488</f>
        <v>-0.198473282442748</v>
      </c>
      <c r="K490" s="201" t="n">
        <f aca="false">K489/K488</f>
        <v>0</v>
      </c>
      <c r="L490" s="201" t="n">
        <f aca="false">L489/L488</f>
        <v>-0.294964028776978</v>
      </c>
      <c r="M490" s="201"/>
      <c r="N490" s="214"/>
      <c r="O490" s="201" t="n">
        <f aca="false">O489/O488</f>
        <v>-0.0389072847682119</v>
      </c>
    </row>
    <row r="491" customFormat="false" ht="12.75" hidden="false" customHeight="false" outlineLevel="0" collapsed="false">
      <c r="A491" s="198"/>
      <c r="B491" s="194" t="n">
        <v>2016</v>
      </c>
      <c r="C491" s="194" t="n">
        <v>5</v>
      </c>
      <c r="D491" s="194" t="n">
        <v>1</v>
      </c>
      <c r="E491" s="194" t="n">
        <v>0</v>
      </c>
      <c r="F491" s="194" t="n">
        <v>4</v>
      </c>
      <c r="G491" s="194" t="n">
        <v>3</v>
      </c>
      <c r="H491" s="194" t="n">
        <v>3</v>
      </c>
      <c r="I491" s="194" t="n">
        <v>1</v>
      </c>
      <c r="J491" s="194" t="n">
        <v>2</v>
      </c>
      <c r="K491" s="194" t="n">
        <v>1</v>
      </c>
      <c r="L491" s="194" t="n">
        <v>2</v>
      </c>
      <c r="M491" s="194"/>
      <c r="N491" s="212"/>
      <c r="O491" s="194" t="n">
        <f aca="false">SUM(C491:N491)</f>
        <v>22</v>
      </c>
    </row>
    <row r="492" customFormat="false" ht="12.75" hidden="false" customHeight="false" outlineLevel="0" collapsed="false">
      <c r="A492" s="195" t="s">
        <v>211</v>
      </c>
      <c r="B492" s="196" t="n">
        <v>2015</v>
      </c>
      <c r="C492" s="196" t="n">
        <v>2</v>
      </c>
      <c r="D492" s="196" t="n">
        <v>4</v>
      </c>
      <c r="E492" s="196" t="n">
        <v>1</v>
      </c>
      <c r="F492" s="196" t="n">
        <v>4</v>
      </c>
      <c r="G492" s="196" t="n">
        <v>2</v>
      </c>
      <c r="H492" s="196" t="n">
        <v>2</v>
      </c>
      <c r="I492" s="196" t="n">
        <v>2</v>
      </c>
      <c r="J492" s="196" t="n">
        <v>3</v>
      </c>
      <c r="K492" s="196" t="n">
        <v>0</v>
      </c>
      <c r="L492" s="196" t="n">
        <v>2</v>
      </c>
      <c r="M492" s="196"/>
      <c r="N492" s="213"/>
      <c r="O492" s="196" t="n">
        <f aca="false">SUM(C492:N492)</f>
        <v>22</v>
      </c>
    </row>
    <row r="493" customFormat="false" ht="12.75" hidden="false" customHeight="false" outlineLevel="0" collapsed="false">
      <c r="A493" s="195" t="s">
        <v>212</v>
      </c>
      <c r="B493" s="202" t="s">
        <v>210</v>
      </c>
      <c r="C493" s="196" t="n">
        <f aca="false">C491-C492</f>
        <v>3</v>
      </c>
      <c r="D493" s="196" t="n">
        <f aca="false">D491-D492</f>
        <v>-3</v>
      </c>
      <c r="E493" s="196" t="n">
        <f aca="false">E491-E492</f>
        <v>-1</v>
      </c>
      <c r="F493" s="196" t="n">
        <f aca="false">F491-F492</f>
        <v>0</v>
      </c>
      <c r="G493" s="196" t="n">
        <f aca="false">G491-G492</f>
        <v>1</v>
      </c>
      <c r="H493" s="196" t="n">
        <f aca="false">H491-H492</f>
        <v>1</v>
      </c>
      <c r="I493" s="196" t="n">
        <f aca="false">I491-I492</f>
        <v>-1</v>
      </c>
      <c r="J493" s="196" t="n">
        <f aca="false">J491-J492</f>
        <v>-1</v>
      </c>
      <c r="K493" s="196" t="n">
        <f aca="false">K491-K492</f>
        <v>1</v>
      </c>
      <c r="L493" s="196" t="n">
        <f aca="false">L491-L492</f>
        <v>0</v>
      </c>
      <c r="M493" s="196"/>
      <c r="N493" s="213"/>
      <c r="O493" s="196" t="n">
        <f aca="false">O491-O492</f>
        <v>0</v>
      </c>
    </row>
    <row r="494" customFormat="false" ht="13.5" hidden="false" customHeight="false" outlineLevel="0" collapsed="false">
      <c r="A494" s="199"/>
      <c r="B494" s="200" t="s">
        <v>9</v>
      </c>
      <c r="C494" s="201" t="n">
        <f aca="false">C493/C492</f>
        <v>1.5</v>
      </c>
      <c r="D494" s="201" t="n">
        <f aca="false">D493/D492</f>
        <v>-0.75</v>
      </c>
      <c r="E494" s="201" t="n">
        <f aca="false">E493/E492</f>
        <v>-1</v>
      </c>
      <c r="F494" s="201" t="n">
        <f aca="false">F493/F492</f>
        <v>0</v>
      </c>
      <c r="G494" s="201" t="n">
        <f aca="false">G493/G492</f>
        <v>0.5</v>
      </c>
      <c r="H494" s="201" t="n">
        <f aca="false">H493/H492</f>
        <v>0.5</v>
      </c>
      <c r="I494" s="201" t="n">
        <f aca="false">I493/I492</f>
        <v>-0.5</v>
      </c>
      <c r="J494" s="201" t="n">
        <f aca="false">J493/J492</f>
        <v>-0.333333333333333</v>
      </c>
      <c r="K494" s="201" t="n">
        <v>0</v>
      </c>
      <c r="L494" s="201" t="n">
        <v>0</v>
      </c>
      <c r="M494" s="201"/>
      <c r="N494" s="214"/>
      <c r="O494" s="201" t="n">
        <f aca="false">O493/O492</f>
        <v>0</v>
      </c>
    </row>
    <row r="495" customFormat="false" ht="12.75" hidden="false" customHeight="false" outlineLevel="0" collapsed="false">
      <c r="A495" s="198"/>
      <c r="B495" s="194" t="n">
        <v>2016</v>
      </c>
      <c r="C495" s="204" t="n">
        <v>1</v>
      </c>
      <c r="D495" s="204" t="n">
        <v>1</v>
      </c>
      <c r="E495" s="204" t="n">
        <v>0</v>
      </c>
      <c r="F495" s="204" t="n">
        <v>0</v>
      </c>
      <c r="G495" s="204" t="n">
        <v>1</v>
      </c>
      <c r="H495" s="204" t="n">
        <v>1</v>
      </c>
      <c r="I495" s="204" t="n">
        <v>1</v>
      </c>
      <c r="J495" s="204" t="n">
        <v>0</v>
      </c>
      <c r="K495" s="204" t="n">
        <v>2</v>
      </c>
      <c r="L495" s="204" t="n">
        <v>2</v>
      </c>
      <c r="M495" s="204"/>
      <c r="N495" s="215"/>
      <c r="O495" s="194" t="n">
        <f aca="false">SUM(C495:N495)</f>
        <v>9</v>
      </c>
    </row>
    <row r="496" customFormat="false" ht="12.75" hidden="false" customHeight="false" outlineLevel="0" collapsed="false">
      <c r="A496" s="203" t="s">
        <v>213</v>
      </c>
      <c r="B496" s="196" t="n">
        <v>2015</v>
      </c>
      <c r="C496" s="196" t="n">
        <v>1</v>
      </c>
      <c r="D496" s="196" t="n">
        <v>0</v>
      </c>
      <c r="E496" s="196" t="n">
        <v>0</v>
      </c>
      <c r="F496" s="196" t="n">
        <v>1</v>
      </c>
      <c r="G496" s="196" t="n">
        <v>1</v>
      </c>
      <c r="H496" s="196" t="n">
        <v>0</v>
      </c>
      <c r="I496" s="196" t="n">
        <v>2</v>
      </c>
      <c r="J496" s="196" t="n">
        <v>1</v>
      </c>
      <c r="K496" s="196" t="n">
        <v>0</v>
      </c>
      <c r="L496" s="196" t="n">
        <v>1</v>
      </c>
      <c r="M496" s="196"/>
      <c r="N496" s="213"/>
      <c r="O496" s="196" t="n">
        <f aca="false">SUM(C496:N496)</f>
        <v>7</v>
      </c>
    </row>
    <row r="497" customFormat="false" ht="12.75" hidden="false" customHeight="false" outlineLevel="0" collapsed="false">
      <c r="A497" s="195" t="s">
        <v>214</v>
      </c>
      <c r="B497" s="202" t="s">
        <v>210</v>
      </c>
      <c r="C497" s="196" t="n">
        <f aca="false">C495-C496</f>
        <v>0</v>
      </c>
      <c r="D497" s="196" t="n">
        <f aca="false">D495-D496</f>
        <v>1</v>
      </c>
      <c r="E497" s="196" t="n">
        <f aca="false">E495-E496</f>
        <v>0</v>
      </c>
      <c r="F497" s="196" t="n">
        <f aca="false">F495-F496</f>
        <v>-1</v>
      </c>
      <c r="G497" s="196" t="n">
        <f aca="false">G495-G496</f>
        <v>0</v>
      </c>
      <c r="H497" s="196" t="n">
        <f aca="false">H495-H496</f>
        <v>1</v>
      </c>
      <c r="I497" s="196" t="n">
        <f aca="false">I495-I496</f>
        <v>-1</v>
      </c>
      <c r="J497" s="196" t="n">
        <f aca="false">J495-J496</f>
        <v>-1</v>
      </c>
      <c r="K497" s="196" t="n">
        <f aca="false">K495-K496</f>
        <v>2</v>
      </c>
      <c r="L497" s="196" t="n">
        <f aca="false">L495-L496</f>
        <v>1</v>
      </c>
      <c r="M497" s="196"/>
      <c r="N497" s="213"/>
      <c r="O497" s="196" t="n">
        <f aca="false">O495-O496</f>
        <v>2</v>
      </c>
    </row>
    <row r="498" customFormat="false" ht="13.5" hidden="false" customHeight="false" outlineLevel="0" collapsed="false">
      <c r="A498" s="199"/>
      <c r="B498" s="200" t="s">
        <v>9</v>
      </c>
      <c r="C498" s="201" t="n">
        <f aca="false">C497/C496</f>
        <v>0</v>
      </c>
      <c r="D498" s="201" t="n">
        <v>0</v>
      </c>
      <c r="E498" s="201" t="n">
        <v>0</v>
      </c>
      <c r="F498" s="201" t="n">
        <f aca="false">F497/F496</f>
        <v>-1</v>
      </c>
      <c r="G498" s="201" t="n">
        <f aca="false">G497/G496</f>
        <v>0</v>
      </c>
      <c r="H498" s="201" t="n">
        <v>0</v>
      </c>
      <c r="I498" s="201" t="n">
        <f aca="false">I497/I496</f>
        <v>-0.5</v>
      </c>
      <c r="J498" s="201" t="n">
        <f aca="false">J497/J496</f>
        <v>-1</v>
      </c>
      <c r="K498" s="201" t="n">
        <v>0</v>
      </c>
      <c r="L498" s="201" t="n">
        <v>0</v>
      </c>
      <c r="M498" s="201"/>
      <c r="N498" s="214"/>
      <c r="O498" s="201" t="n">
        <f aca="false">O497/O496</f>
        <v>0.285714285714286</v>
      </c>
    </row>
    <row r="499" customFormat="false" ht="12.75" hidden="false" customHeight="false" outlineLevel="0" collapsed="false">
      <c r="A499" s="198"/>
      <c r="B499" s="194" t="n">
        <v>2016</v>
      </c>
      <c r="C499" s="204" t="n">
        <v>0</v>
      </c>
      <c r="D499" s="204" t="n">
        <v>0</v>
      </c>
      <c r="E499" s="204" t="n">
        <v>0</v>
      </c>
      <c r="F499" s="204" t="n">
        <v>0</v>
      </c>
      <c r="G499" s="204" t="n">
        <v>0</v>
      </c>
      <c r="H499" s="204" t="n">
        <v>0</v>
      </c>
      <c r="I499" s="204" t="n">
        <v>0</v>
      </c>
      <c r="J499" s="204" t="n">
        <v>0</v>
      </c>
      <c r="K499" s="204" t="n">
        <v>0</v>
      </c>
      <c r="L499" s="204" t="n">
        <v>0</v>
      </c>
      <c r="M499" s="204"/>
      <c r="N499" s="215"/>
      <c r="O499" s="194" t="n">
        <f aca="false">SUM(C499:N499)</f>
        <v>0</v>
      </c>
    </row>
    <row r="500" customFormat="false" ht="12.75" hidden="false" customHeight="false" outlineLevel="0" collapsed="false">
      <c r="A500" s="203" t="s">
        <v>215</v>
      </c>
      <c r="B500" s="196" t="n">
        <v>2015</v>
      </c>
      <c r="C500" s="196" t="n">
        <v>0</v>
      </c>
      <c r="D500" s="196" t="n">
        <v>0</v>
      </c>
      <c r="E500" s="196" t="n">
        <v>0</v>
      </c>
      <c r="F500" s="196" t="n">
        <v>0</v>
      </c>
      <c r="G500" s="196" t="n">
        <v>0</v>
      </c>
      <c r="H500" s="196" t="n">
        <v>0</v>
      </c>
      <c r="I500" s="196" t="n">
        <v>0</v>
      </c>
      <c r="J500" s="196" t="n">
        <v>0</v>
      </c>
      <c r="K500" s="196" t="n">
        <v>0</v>
      </c>
      <c r="L500" s="196" t="n">
        <v>0</v>
      </c>
      <c r="M500" s="196"/>
      <c r="N500" s="213"/>
      <c r="O500" s="196" t="n">
        <f aca="false">SUM(C500:N500)</f>
        <v>0</v>
      </c>
    </row>
    <row r="501" customFormat="false" ht="12.75" hidden="false" customHeight="false" outlineLevel="0" collapsed="false">
      <c r="A501" s="203" t="s">
        <v>216</v>
      </c>
      <c r="B501" s="202" t="s">
        <v>210</v>
      </c>
      <c r="C501" s="196" t="n">
        <f aca="false">C499-C500</f>
        <v>0</v>
      </c>
      <c r="D501" s="196" t="n">
        <f aca="false">D499-D500</f>
        <v>0</v>
      </c>
      <c r="E501" s="196" t="n">
        <f aca="false">E499-E500</f>
        <v>0</v>
      </c>
      <c r="F501" s="196" t="n">
        <f aca="false">F499-F500</f>
        <v>0</v>
      </c>
      <c r="G501" s="196" t="n">
        <f aca="false">G499-G500</f>
        <v>0</v>
      </c>
      <c r="H501" s="196" t="n">
        <f aca="false">H499-H500</f>
        <v>0</v>
      </c>
      <c r="I501" s="196" t="n">
        <f aca="false">I499-I500</f>
        <v>0</v>
      </c>
      <c r="J501" s="196" t="n">
        <f aca="false">J499-J500</f>
        <v>0</v>
      </c>
      <c r="K501" s="196" t="n">
        <f aca="false">K499-K500</f>
        <v>0</v>
      </c>
      <c r="L501" s="196" t="n">
        <f aca="false">L499-L500</f>
        <v>0</v>
      </c>
      <c r="M501" s="196"/>
      <c r="N501" s="213"/>
      <c r="O501" s="196" t="n">
        <f aca="false">O499-O500</f>
        <v>0</v>
      </c>
    </row>
    <row r="502" customFormat="false" ht="13.5" hidden="false" customHeight="false" outlineLevel="0" collapsed="false">
      <c r="A502" s="199"/>
      <c r="B502" s="200" t="s">
        <v>9</v>
      </c>
      <c r="C502" s="201" t="n">
        <v>0</v>
      </c>
      <c r="D502" s="201" t="n">
        <v>0</v>
      </c>
      <c r="E502" s="201" t="n">
        <v>0</v>
      </c>
      <c r="F502" s="201" t="n">
        <v>0</v>
      </c>
      <c r="G502" s="201" t="n">
        <v>0</v>
      </c>
      <c r="H502" s="201" t="n">
        <v>0</v>
      </c>
      <c r="I502" s="201" t="n">
        <v>0</v>
      </c>
      <c r="J502" s="201" t="n">
        <v>0</v>
      </c>
      <c r="K502" s="201" t="n">
        <v>0</v>
      </c>
      <c r="L502" s="201" t="n">
        <v>0</v>
      </c>
      <c r="M502" s="201"/>
      <c r="N502" s="214"/>
      <c r="O502" s="201" t="n">
        <v>0</v>
      </c>
    </row>
    <row r="503" customFormat="false" ht="12.75" hidden="false" customHeight="false" outlineLevel="0" collapsed="false">
      <c r="A503" s="198"/>
      <c r="B503" s="194" t="n">
        <v>2016</v>
      </c>
      <c r="C503" s="204" t="n">
        <v>6</v>
      </c>
      <c r="D503" s="204" t="n">
        <v>7</v>
      </c>
      <c r="E503" s="204" t="n">
        <v>6</v>
      </c>
      <c r="F503" s="204" t="n">
        <v>4</v>
      </c>
      <c r="G503" s="204" t="n">
        <v>8</v>
      </c>
      <c r="H503" s="204" t="n">
        <v>4</v>
      </c>
      <c r="I503" s="204" t="n">
        <v>5</v>
      </c>
      <c r="J503" s="204" t="n">
        <v>8</v>
      </c>
      <c r="K503" s="204" t="n">
        <v>6</v>
      </c>
      <c r="L503" s="204" t="n">
        <v>5</v>
      </c>
      <c r="M503" s="204"/>
      <c r="N503" s="215"/>
      <c r="O503" s="194" t="n">
        <f aca="false">SUM(C503:N503)</f>
        <v>59</v>
      </c>
    </row>
    <row r="504" customFormat="false" ht="12.75" hidden="false" customHeight="false" outlineLevel="0" collapsed="false">
      <c r="A504" s="195" t="s">
        <v>217</v>
      </c>
      <c r="B504" s="196" t="n">
        <v>2015</v>
      </c>
      <c r="C504" s="196" t="n">
        <v>11</v>
      </c>
      <c r="D504" s="196" t="n">
        <v>10</v>
      </c>
      <c r="E504" s="196" t="n">
        <v>7</v>
      </c>
      <c r="F504" s="196" t="n">
        <v>9</v>
      </c>
      <c r="G504" s="196" t="n">
        <v>6</v>
      </c>
      <c r="H504" s="196" t="n">
        <v>6</v>
      </c>
      <c r="I504" s="196" t="n">
        <v>6</v>
      </c>
      <c r="J504" s="196" t="n">
        <v>6</v>
      </c>
      <c r="K504" s="196" t="n">
        <v>3</v>
      </c>
      <c r="L504" s="196" t="n">
        <v>9</v>
      </c>
      <c r="M504" s="196"/>
      <c r="N504" s="213"/>
      <c r="O504" s="196" t="n">
        <f aca="false">SUM(C504:N504)</f>
        <v>73</v>
      </c>
    </row>
    <row r="505" customFormat="false" ht="12.75" hidden="false" customHeight="false" outlineLevel="0" collapsed="false">
      <c r="A505" s="198"/>
      <c r="B505" s="202" t="s">
        <v>210</v>
      </c>
      <c r="C505" s="196" t="n">
        <f aca="false">C503-C504</f>
        <v>-5</v>
      </c>
      <c r="D505" s="196" t="n">
        <f aca="false">D503-D504</f>
        <v>-3</v>
      </c>
      <c r="E505" s="196" t="n">
        <f aca="false">E503-E504</f>
        <v>-1</v>
      </c>
      <c r="F505" s="196" t="n">
        <f aca="false">F503-F504</f>
        <v>-5</v>
      </c>
      <c r="G505" s="196" t="n">
        <f aca="false">G503-G504</f>
        <v>2</v>
      </c>
      <c r="H505" s="196" t="n">
        <f aca="false">H503-H504</f>
        <v>-2</v>
      </c>
      <c r="I505" s="196" t="n">
        <f aca="false">I503-I504</f>
        <v>-1</v>
      </c>
      <c r="J505" s="196" t="n">
        <f aca="false">J503-J504</f>
        <v>2</v>
      </c>
      <c r="K505" s="196" t="n">
        <f aca="false">K503-K504</f>
        <v>3</v>
      </c>
      <c r="L505" s="196" t="n">
        <f aca="false">L503-L504</f>
        <v>-4</v>
      </c>
      <c r="M505" s="196"/>
      <c r="N505" s="213"/>
      <c r="O505" s="196" t="n">
        <f aca="false">O503-O504</f>
        <v>-14</v>
      </c>
    </row>
    <row r="506" customFormat="false" ht="13.5" hidden="false" customHeight="false" outlineLevel="0" collapsed="false">
      <c r="A506" s="199"/>
      <c r="B506" s="200" t="s">
        <v>9</v>
      </c>
      <c r="C506" s="201" t="n">
        <f aca="false">C505/C504</f>
        <v>-0.454545454545455</v>
      </c>
      <c r="D506" s="201" t="n">
        <f aca="false">D505/D504</f>
        <v>-0.3</v>
      </c>
      <c r="E506" s="201" t="n">
        <f aca="false">E505/E504</f>
        <v>-0.142857142857143</v>
      </c>
      <c r="F506" s="201" t="n">
        <f aca="false">F505/F504</f>
        <v>-0.555555555555556</v>
      </c>
      <c r="G506" s="201" t="n">
        <f aca="false">G505/G504</f>
        <v>0.333333333333333</v>
      </c>
      <c r="H506" s="201" t="n">
        <f aca="false">H505/H504</f>
        <v>-0.333333333333333</v>
      </c>
      <c r="I506" s="201" t="n">
        <f aca="false">I505/I504</f>
        <v>-0.166666666666667</v>
      </c>
      <c r="J506" s="201" t="n">
        <f aca="false">J505/J504</f>
        <v>0.333333333333333</v>
      </c>
      <c r="K506" s="201" t="n">
        <f aca="false">K505/K504</f>
        <v>1</v>
      </c>
      <c r="L506" s="201" t="n">
        <v>0</v>
      </c>
      <c r="M506" s="201"/>
      <c r="N506" s="214"/>
      <c r="O506" s="201" t="n">
        <f aca="false">O505/O504</f>
        <v>-0.191780821917808</v>
      </c>
    </row>
    <row r="507" customFormat="false" ht="12.75" hidden="false" customHeight="false" outlineLevel="0" collapsed="false">
      <c r="A507" s="198"/>
      <c r="B507" s="194" t="n">
        <v>2016</v>
      </c>
      <c r="C507" s="204" t="n">
        <v>22</v>
      </c>
      <c r="D507" s="204" t="n">
        <v>21</v>
      </c>
      <c r="E507" s="204" t="n">
        <v>5</v>
      </c>
      <c r="F507" s="204" t="n">
        <v>8</v>
      </c>
      <c r="G507" s="204" t="n">
        <v>14</v>
      </c>
      <c r="H507" s="204" t="n">
        <v>19</v>
      </c>
      <c r="I507" s="204" t="n">
        <v>21</v>
      </c>
      <c r="J507" s="204" t="n">
        <v>13</v>
      </c>
      <c r="K507" s="204" t="n">
        <v>16</v>
      </c>
      <c r="L507" s="204" t="n">
        <v>9</v>
      </c>
      <c r="M507" s="204"/>
      <c r="N507" s="215"/>
      <c r="O507" s="194" t="n">
        <f aca="false">SUM(C507:N507)</f>
        <v>148</v>
      </c>
    </row>
    <row r="508" customFormat="false" ht="12.75" hidden="false" customHeight="false" outlineLevel="0" collapsed="false">
      <c r="A508" s="195" t="s">
        <v>218</v>
      </c>
      <c r="B508" s="196" t="n">
        <v>2015</v>
      </c>
      <c r="C508" s="196" t="n">
        <v>10</v>
      </c>
      <c r="D508" s="196" t="n">
        <v>24</v>
      </c>
      <c r="E508" s="196" t="n">
        <v>20</v>
      </c>
      <c r="F508" s="196" t="n">
        <v>7</v>
      </c>
      <c r="G508" s="196" t="n">
        <v>23</v>
      </c>
      <c r="H508" s="196" t="n">
        <v>14</v>
      </c>
      <c r="I508" s="196" t="n">
        <v>11</v>
      </c>
      <c r="J508" s="196" t="n">
        <v>16</v>
      </c>
      <c r="K508" s="196" t="n">
        <v>12</v>
      </c>
      <c r="L508" s="196" t="n">
        <v>14</v>
      </c>
      <c r="M508" s="196"/>
      <c r="N508" s="213"/>
      <c r="O508" s="196" t="n">
        <f aca="false">SUM(C508:N508)</f>
        <v>151</v>
      </c>
    </row>
    <row r="509" customFormat="false" ht="12.75" hidden="false" customHeight="false" outlineLevel="0" collapsed="false">
      <c r="A509" s="195" t="s">
        <v>219</v>
      </c>
      <c r="B509" s="202" t="s">
        <v>210</v>
      </c>
      <c r="C509" s="196" t="n">
        <f aca="false">C507-C508</f>
        <v>12</v>
      </c>
      <c r="D509" s="196" t="n">
        <f aca="false">D507-D508</f>
        <v>-3</v>
      </c>
      <c r="E509" s="196" t="n">
        <f aca="false">E507-E508</f>
        <v>-15</v>
      </c>
      <c r="F509" s="196" t="n">
        <f aca="false">F507-F508</f>
        <v>1</v>
      </c>
      <c r="G509" s="196" t="n">
        <f aca="false">G507-G508</f>
        <v>-9</v>
      </c>
      <c r="H509" s="196" t="n">
        <f aca="false">H507-H508</f>
        <v>5</v>
      </c>
      <c r="I509" s="196" t="n">
        <f aca="false">I507-I508</f>
        <v>10</v>
      </c>
      <c r="J509" s="196" t="n">
        <f aca="false">J507-J508</f>
        <v>-3</v>
      </c>
      <c r="K509" s="196" t="n">
        <f aca="false">K507-K508</f>
        <v>4</v>
      </c>
      <c r="L509" s="196" t="n">
        <f aca="false">L507-L508</f>
        <v>-5</v>
      </c>
      <c r="M509" s="196"/>
      <c r="N509" s="213"/>
      <c r="O509" s="196" t="n">
        <f aca="false">O507-O508</f>
        <v>-3</v>
      </c>
    </row>
    <row r="510" customFormat="false" ht="13.5" hidden="false" customHeight="false" outlineLevel="0" collapsed="false">
      <c r="A510" s="199" t="s">
        <v>2</v>
      </c>
      <c r="B510" s="200" t="s">
        <v>9</v>
      </c>
      <c r="C510" s="201" t="n">
        <f aca="false">C509/C508</f>
        <v>1.2</v>
      </c>
      <c r="D510" s="201" t="n">
        <f aca="false">D509/D508</f>
        <v>-0.125</v>
      </c>
      <c r="E510" s="201" t="n">
        <f aca="false">E509/E508</f>
        <v>-0.75</v>
      </c>
      <c r="F510" s="201" t="n">
        <f aca="false">F509/F508</f>
        <v>0.142857142857143</v>
      </c>
      <c r="G510" s="201" t="n">
        <f aca="false">G509/G508</f>
        <v>-0.391304347826087</v>
      </c>
      <c r="H510" s="201" t="n">
        <f aca="false">H509/H508</f>
        <v>0.357142857142857</v>
      </c>
      <c r="I510" s="201" t="n">
        <f aca="false">I509/I508</f>
        <v>0.909090909090909</v>
      </c>
      <c r="J510" s="201" t="n">
        <f aca="false">J509/J508</f>
        <v>-0.1875</v>
      </c>
      <c r="K510" s="201" t="n">
        <f aca="false">K509/K508</f>
        <v>0.333333333333333</v>
      </c>
      <c r="L510" s="201" t="n">
        <v>0</v>
      </c>
      <c r="M510" s="201"/>
      <c r="N510" s="214"/>
      <c r="O510" s="201" t="n">
        <f aca="false">O509/O508</f>
        <v>-0.0198675496688742</v>
      </c>
    </row>
    <row r="511" customFormat="false" ht="12.75" hidden="false" customHeight="false" outlineLevel="0" collapsed="false">
      <c r="A511" s="198"/>
      <c r="B511" s="194" t="n">
        <v>2016</v>
      </c>
      <c r="C511" s="204" t="n">
        <v>27</v>
      </c>
      <c r="D511" s="204" t="n">
        <v>40</v>
      </c>
      <c r="E511" s="204" t="n">
        <v>16</v>
      </c>
      <c r="F511" s="204" t="n">
        <v>32</v>
      </c>
      <c r="G511" s="204" t="n">
        <v>31</v>
      </c>
      <c r="H511" s="204" t="n">
        <v>34</v>
      </c>
      <c r="I511" s="204" t="n">
        <v>26</v>
      </c>
      <c r="J511" s="204" t="n">
        <v>25</v>
      </c>
      <c r="K511" s="204" t="n">
        <v>38</v>
      </c>
      <c r="L511" s="204" t="n">
        <v>26</v>
      </c>
      <c r="M511" s="204"/>
      <c r="N511" s="215"/>
      <c r="O511" s="194" t="n">
        <f aca="false">SUM(C511:N511)</f>
        <v>295</v>
      </c>
    </row>
    <row r="512" customFormat="false" ht="12.75" hidden="false" customHeight="false" outlineLevel="0" collapsed="false">
      <c r="A512" s="195" t="s">
        <v>220</v>
      </c>
      <c r="B512" s="196" t="n">
        <v>2015</v>
      </c>
      <c r="C512" s="196" t="n">
        <v>41</v>
      </c>
      <c r="D512" s="196" t="n">
        <v>31</v>
      </c>
      <c r="E512" s="196" t="n">
        <v>38</v>
      </c>
      <c r="F512" s="196" t="n">
        <v>21</v>
      </c>
      <c r="G512" s="196" t="n">
        <v>17</v>
      </c>
      <c r="H512" s="196" t="n">
        <v>21</v>
      </c>
      <c r="I512" s="196" t="n">
        <v>26</v>
      </c>
      <c r="J512" s="196" t="n">
        <v>25</v>
      </c>
      <c r="K512" s="196" t="n">
        <v>30</v>
      </c>
      <c r="L512" s="196" t="n">
        <v>38</v>
      </c>
      <c r="M512" s="196"/>
      <c r="N512" s="213"/>
      <c r="O512" s="196" t="n">
        <f aca="false">SUM(C512:N512)</f>
        <v>288</v>
      </c>
    </row>
    <row r="513" customFormat="false" ht="12.75" hidden="false" customHeight="false" outlineLevel="0" collapsed="false">
      <c r="A513" s="198"/>
      <c r="B513" s="202" t="s">
        <v>210</v>
      </c>
      <c r="C513" s="196" t="n">
        <f aca="false">C511-C512</f>
        <v>-14</v>
      </c>
      <c r="D513" s="196" t="n">
        <f aca="false">D511-D512</f>
        <v>9</v>
      </c>
      <c r="E513" s="196" t="n">
        <f aca="false">E511-E512</f>
        <v>-22</v>
      </c>
      <c r="F513" s="196" t="n">
        <f aca="false">F511-F512</f>
        <v>11</v>
      </c>
      <c r="G513" s="196" t="n">
        <f aca="false">G511-G512</f>
        <v>14</v>
      </c>
      <c r="H513" s="196" t="n">
        <f aca="false">H511-H512</f>
        <v>13</v>
      </c>
      <c r="I513" s="196" t="n">
        <f aca="false">I511-I512</f>
        <v>0</v>
      </c>
      <c r="J513" s="196" t="n">
        <f aca="false">J511-J512</f>
        <v>0</v>
      </c>
      <c r="K513" s="196" t="n">
        <f aca="false">K511-K512</f>
        <v>8</v>
      </c>
      <c r="L513" s="196" t="n">
        <f aca="false">L511-L512</f>
        <v>-12</v>
      </c>
      <c r="M513" s="196"/>
      <c r="N513" s="213"/>
      <c r="O513" s="196" t="n">
        <f aca="false">O511-O512</f>
        <v>7</v>
      </c>
    </row>
    <row r="514" customFormat="false" ht="13.5" hidden="false" customHeight="false" outlineLevel="0" collapsed="false">
      <c r="A514" s="199"/>
      <c r="B514" s="200" t="s">
        <v>9</v>
      </c>
      <c r="C514" s="201" t="n">
        <f aca="false">C513/C512</f>
        <v>-0.341463414634146</v>
      </c>
      <c r="D514" s="201" t="n">
        <f aca="false">D513/D512</f>
        <v>0.290322580645161</v>
      </c>
      <c r="E514" s="201" t="n">
        <f aca="false">E513/E512</f>
        <v>-0.578947368421053</v>
      </c>
      <c r="F514" s="201" t="n">
        <f aca="false">F513/F512</f>
        <v>0.523809523809524</v>
      </c>
      <c r="G514" s="201" t="n">
        <f aca="false">G513/G512</f>
        <v>0.823529411764706</v>
      </c>
      <c r="H514" s="201" t="n">
        <f aca="false">H513/H512</f>
        <v>0.619047619047619</v>
      </c>
      <c r="I514" s="201" t="n">
        <f aca="false">I513/I512</f>
        <v>0</v>
      </c>
      <c r="J514" s="201" t="n">
        <f aca="false">J513/J512</f>
        <v>0</v>
      </c>
      <c r="K514" s="201" t="n">
        <f aca="false">K513/K512</f>
        <v>0.266666666666667</v>
      </c>
      <c r="L514" s="201" t="n">
        <v>0</v>
      </c>
      <c r="M514" s="201"/>
      <c r="N514" s="214"/>
      <c r="O514" s="201" t="n">
        <f aca="false">O513/O512</f>
        <v>0.0243055555555556</v>
      </c>
    </row>
    <row r="515" customFormat="false" ht="12.75" hidden="false" customHeight="false" outlineLevel="0" collapsed="false">
      <c r="A515" s="198"/>
      <c r="B515" s="194" t="n">
        <v>2016</v>
      </c>
      <c r="C515" s="204" t="n">
        <v>59</v>
      </c>
      <c r="D515" s="204" t="n">
        <v>60</v>
      </c>
      <c r="E515" s="204" t="n">
        <v>56</v>
      </c>
      <c r="F515" s="204" t="n">
        <v>75</v>
      </c>
      <c r="G515" s="204" t="n">
        <v>63</v>
      </c>
      <c r="H515" s="204" t="n">
        <v>62</v>
      </c>
      <c r="I515" s="204" t="n">
        <v>56</v>
      </c>
      <c r="J515" s="204" t="n">
        <v>47</v>
      </c>
      <c r="K515" s="204" t="n">
        <v>55</v>
      </c>
      <c r="L515" s="204" t="n">
        <v>49</v>
      </c>
      <c r="M515" s="204"/>
      <c r="N515" s="215"/>
      <c r="O515" s="194" t="n">
        <f aca="false">SUM(C515:N515)</f>
        <v>582</v>
      </c>
    </row>
    <row r="516" customFormat="false" ht="12.75" hidden="false" customHeight="false" outlineLevel="0" collapsed="false">
      <c r="A516" s="195" t="s">
        <v>221</v>
      </c>
      <c r="B516" s="196" t="n">
        <v>2015</v>
      </c>
      <c r="C516" s="196" t="n">
        <v>65</v>
      </c>
      <c r="D516" s="196" t="n">
        <v>45</v>
      </c>
      <c r="E516" s="196" t="n">
        <v>62</v>
      </c>
      <c r="F516" s="196" t="n">
        <v>51</v>
      </c>
      <c r="G516" s="196" t="n">
        <v>68</v>
      </c>
      <c r="H516" s="196" t="n">
        <v>53</v>
      </c>
      <c r="I516" s="196" t="n">
        <v>53</v>
      </c>
      <c r="J516" s="196" t="n">
        <v>76</v>
      </c>
      <c r="K516" s="196" t="n">
        <v>70</v>
      </c>
      <c r="L516" s="196" t="n">
        <v>73</v>
      </c>
      <c r="M516" s="196"/>
      <c r="N516" s="213"/>
      <c r="O516" s="196" t="n">
        <f aca="false">SUM(C516:N516)</f>
        <v>616</v>
      </c>
    </row>
    <row r="517" customFormat="false" ht="12.75" hidden="false" customHeight="false" outlineLevel="0" collapsed="false">
      <c r="A517" s="195" t="s">
        <v>222</v>
      </c>
      <c r="B517" s="202" t="s">
        <v>210</v>
      </c>
      <c r="C517" s="196" t="n">
        <f aca="false">C515-C516</f>
        <v>-6</v>
      </c>
      <c r="D517" s="196" t="n">
        <f aca="false">D515-D516</f>
        <v>15</v>
      </c>
      <c r="E517" s="196" t="n">
        <f aca="false">E515-E516</f>
        <v>-6</v>
      </c>
      <c r="F517" s="196" t="n">
        <f aca="false">F515-F516</f>
        <v>24</v>
      </c>
      <c r="G517" s="196" t="n">
        <f aca="false">G515-G516</f>
        <v>-5</v>
      </c>
      <c r="H517" s="196" t="n">
        <f aca="false">H515-H516</f>
        <v>9</v>
      </c>
      <c r="I517" s="196" t="n">
        <f aca="false">I515-I516</f>
        <v>3</v>
      </c>
      <c r="J517" s="196" t="n">
        <f aca="false">J515-J516</f>
        <v>-29</v>
      </c>
      <c r="K517" s="196" t="n">
        <f aca="false">K515-K516</f>
        <v>-15</v>
      </c>
      <c r="L517" s="196" t="n">
        <f aca="false">L515-L516</f>
        <v>-24</v>
      </c>
      <c r="M517" s="196"/>
      <c r="N517" s="213"/>
      <c r="O517" s="196" t="n">
        <f aca="false">O515-O516</f>
        <v>-34</v>
      </c>
    </row>
    <row r="518" customFormat="false" ht="13.5" hidden="false" customHeight="false" outlineLevel="0" collapsed="false">
      <c r="A518" s="199"/>
      <c r="B518" s="200" t="s">
        <v>9</v>
      </c>
      <c r="C518" s="201" t="n">
        <f aca="false">C517/C516</f>
        <v>-0.0923076923076923</v>
      </c>
      <c r="D518" s="201" t="n">
        <f aca="false">D517/D516</f>
        <v>0.333333333333333</v>
      </c>
      <c r="E518" s="201" t="n">
        <f aca="false">E517/E516</f>
        <v>-0.0967741935483871</v>
      </c>
      <c r="F518" s="201" t="n">
        <f aca="false">F517/F516</f>
        <v>0.470588235294118</v>
      </c>
      <c r="G518" s="201" t="n">
        <f aca="false">G517/G516</f>
        <v>-0.0735294117647059</v>
      </c>
      <c r="H518" s="201" t="n">
        <f aca="false">H517/H516</f>
        <v>0.169811320754717</v>
      </c>
      <c r="I518" s="201" t="n">
        <f aca="false">I517/I516</f>
        <v>0.0566037735849057</v>
      </c>
      <c r="J518" s="201" t="n">
        <f aca="false">J517/J516</f>
        <v>-0.381578947368421</v>
      </c>
      <c r="K518" s="201" t="n">
        <f aca="false">K517/K516</f>
        <v>-0.214285714285714</v>
      </c>
      <c r="L518" s="201" t="n">
        <v>0</v>
      </c>
      <c r="M518" s="201"/>
      <c r="N518" s="214"/>
      <c r="O518" s="201" t="n">
        <f aca="false">O517/O516</f>
        <v>-0.0551948051948052</v>
      </c>
    </row>
    <row r="519" customFormat="false" ht="12.75" hidden="false" customHeight="false" outlineLevel="0" collapsed="false">
      <c r="A519" s="198"/>
      <c r="B519" s="194" t="n">
        <v>2016</v>
      </c>
      <c r="C519" s="204" t="n">
        <v>2</v>
      </c>
      <c r="D519" s="204" t="n">
        <v>3</v>
      </c>
      <c r="E519" s="204" t="n">
        <v>2</v>
      </c>
      <c r="F519" s="204" t="n">
        <v>4</v>
      </c>
      <c r="G519" s="204" t="n">
        <v>4</v>
      </c>
      <c r="H519" s="204" t="n">
        <v>3</v>
      </c>
      <c r="I519" s="204" t="n">
        <v>12</v>
      </c>
      <c r="J519" s="204" t="n">
        <v>10</v>
      </c>
      <c r="K519" s="204" t="n">
        <v>1</v>
      </c>
      <c r="L519" s="204" t="n">
        <v>5</v>
      </c>
      <c r="M519" s="204"/>
      <c r="N519" s="215"/>
      <c r="O519" s="194" t="n">
        <f aca="false">SUM(C519:N519)</f>
        <v>46</v>
      </c>
    </row>
    <row r="520" customFormat="false" ht="12.75" hidden="false" customHeight="false" outlineLevel="0" collapsed="false">
      <c r="A520" s="195" t="s">
        <v>223</v>
      </c>
      <c r="B520" s="196" t="n">
        <v>2015</v>
      </c>
      <c r="C520" s="196" t="n">
        <v>7</v>
      </c>
      <c r="D520" s="196" t="n">
        <v>7</v>
      </c>
      <c r="E520" s="196" t="n">
        <v>3</v>
      </c>
      <c r="F520" s="196" t="n">
        <v>8</v>
      </c>
      <c r="G520" s="196" t="n">
        <v>3</v>
      </c>
      <c r="H520" s="196" t="n">
        <v>6</v>
      </c>
      <c r="I520" s="196" t="n">
        <v>7</v>
      </c>
      <c r="J520" s="196" t="n">
        <v>4</v>
      </c>
      <c r="K520" s="196" t="n">
        <v>4</v>
      </c>
      <c r="L520" s="196" t="n">
        <v>2</v>
      </c>
      <c r="M520" s="196"/>
      <c r="N520" s="213"/>
      <c r="O520" s="196" t="n">
        <f aca="false">SUM(C520:N520)</f>
        <v>51</v>
      </c>
    </row>
    <row r="521" customFormat="false" ht="12.75" hidden="false" customHeight="false" outlineLevel="0" collapsed="false">
      <c r="A521" s="195" t="s">
        <v>224</v>
      </c>
      <c r="B521" s="202" t="s">
        <v>210</v>
      </c>
      <c r="C521" s="196" t="n">
        <f aca="false">C519-C520</f>
        <v>-5</v>
      </c>
      <c r="D521" s="196" t="n">
        <f aca="false">D519-D520</f>
        <v>-4</v>
      </c>
      <c r="E521" s="196" t="n">
        <f aca="false">E519-E520</f>
        <v>-1</v>
      </c>
      <c r="F521" s="196" t="n">
        <f aca="false">F519-F520</f>
        <v>-4</v>
      </c>
      <c r="G521" s="196" t="n">
        <f aca="false">G519-G520</f>
        <v>1</v>
      </c>
      <c r="H521" s="196" t="n">
        <f aca="false">H519-H520</f>
        <v>-3</v>
      </c>
      <c r="I521" s="196" t="n">
        <f aca="false">I519-I520</f>
        <v>5</v>
      </c>
      <c r="J521" s="196" t="n">
        <f aca="false">J519-J520</f>
        <v>6</v>
      </c>
      <c r="K521" s="196" t="n">
        <f aca="false">K519-K520</f>
        <v>-3</v>
      </c>
      <c r="L521" s="196" t="n">
        <f aca="false">L519-L520</f>
        <v>3</v>
      </c>
      <c r="M521" s="196"/>
      <c r="N521" s="213"/>
      <c r="O521" s="196" t="n">
        <f aca="false">O519-O520</f>
        <v>-5</v>
      </c>
    </row>
    <row r="522" customFormat="false" ht="13.5" hidden="false" customHeight="false" outlineLevel="0" collapsed="false">
      <c r="A522" s="199"/>
      <c r="B522" s="200" t="s">
        <v>9</v>
      </c>
      <c r="C522" s="201" t="n">
        <f aca="false">C521/C520</f>
        <v>-0.714285714285714</v>
      </c>
      <c r="D522" s="201" t="n">
        <f aca="false">D521/D520</f>
        <v>-0.571428571428571</v>
      </c>
      <c r="E522" s="201" t="n">
        <f aca="false">E521/E520</f>
        <v>-0.333333333333333</v>
      </c>
      <c r="F522" s="201" t="n">
        <f aca="false">F521/F520</f>
        <v>-0.5</v>
      </c>
      <c r="G522" s="201" t="n">
        <f aca="false">G521/G520</f>
        <v>0.333333333333333</v>
      </c>
      <c r="H522" s="201" t="n">
        <f aca="false">H521/H520</f>
        <v>-0.5</v>
      </c>
      <c r="I522" s="201" t="n">
        <f aca="false">I521/I520</f>
        <v>0.714285714285714</v>
      </c>
      <c r="J522" s="201" t="n">
        <f aca="false">J521/J520</f>
        <v>1.5</v>
      </c>
      <c r="K522" s="201" t="n">
        <f aca="false">K521/K520</f>
        <v>-0.75</v>
      </c>
      <c r="L522" s="201" t="n">
        <v>0</v>
      </c>
      <c r="M522" s="201"/>
      <c r="N522" s="214"/>
      <c r="O522" s="201" t="n">
        <f aca="false">O521/O520</f>
        <v>-0.0980392156862745</v>
      </c>
    </row>
    <row r="525" customFormat="false" ht="13.5" hidden="false" customHeight="false" outlineLevel="0" collapsed="false">
      <c r="A525" s="223" t="s">
        <v>188</v>
      </c>
      <c r="B525" s="224"/>
      <c r="C525" s="224"/>
    </row>
    <row r="526" customFormat="false" ht="13.5" hidden="false" customHeight="false" outlineLevel="0" collapsed="false">
      <c r="A526" s="0" t="s">
        <v>2</v>
      </c>
      <c r="B526" s="192" t="s">
        <v>196</v>
      </c>
      <c r="C526" s="192" t="s">
        <v>197</v>
      </c>
      <c r="D526" s="192" t="s">
        <v>198</v>
      </c>
      <c r="E526" s="192" t="s">
        <v>199</v>
      </c>
      <c r="F526" s="192" t="s">
        <v>200</v>
      </c>
      <c r="G526" s="192" t="s">
        <v>201</v>
      </c>
      <c r="H526" s="192" t="s">
        <v>202</v>
      </c>
      <c r="I526" s="192" t="s">
        <v>203</v>
      </c>
      <c r="J526" s="192" t="s">
        <v>204</v>
      </c>
      <c r="K526" s="192" t="s">
        <v>205</v>
      </c>
      <c r="L526" s="192" t="s">
        <v>206</v>
      </c>
      <c r="M526" s="192" t="s">
        <v>207</v>
      </c>
      <c r="N526" s="192" t="s">
        <v>208</v>
      </c>
      <c r="O526" s="192" t="s">
        <v>52</v>
      </c>
    </row>
    <row r="527" customFormat="false" ht="12.75" hidden="false" customHeight="false" outlineLevel="0" collapsed="false">
      <c r="A527" s="193"/>
      <c r="B527" s="194" t="n">
        <v>2016</v>
      </c>
      <c r="C527" s="194" t="n">
        <f aca="false">SUM(C531+C535+C543+C547+C551+C555+C559)</f>
        <v>115</v>
      </c>
      <c r="D527" s="194" t="n">
        <f aca="false">SUM(D531+D535+D543+D547+D551+D555+D559)</f>
        <v>94</v>
      </c>
      <c r="E527" s="194" t="n">
        <f aca="false">SUM(E531+E535+E543+E547+E551+E555+E559)</f>
        <v>89</v>
      </c>
      <c r="F527" s="194" t="n">
        <f aca="false">SUM(F531+F535+F543+F547+F551+F555+F559)</f>
        <v>91</v>
      </c>
      <c r="G527" s="194" t="n">
        <f aca="false">SUM(G531+G535+G543+G547+G551+G555+G559)</f>
        <v>90</v>
      </c>
      <c r="H527" s="194" t="n">
        <f aca="false">SUM(H531+H535+H543+H547+H551+H555+H559)</f>
        <v>91</v>
      </c>
      <c r="I527" s="194" t="n">
        <f aca="false">SUM(I531+I535+I543+I547+I551+I555+I559)</f>
        <v>123</v>
      </c>
      <c r="J527" s="194" t="n">
        <f aca="false">SUM(J531+J535+J543+J547+J551+J555+J559)</f>
        <v>85</v>
      </c>
      <c r="K527" s="194" t="n">
        <f aca="false">SUM(K531+K535+K543+K547+K551+K555+K559)</f>
        <v>81</v>
      </c>
      <c r="L527" s="194" t="n">
        <f aca="false">SUM(L531+L535+L543+L547+L551+L555+L559)</f>
        <v>84</v>
      </c>
      <c r="M527" s="194"/>
      <c r="N527" s="194"/>
      <c r="O527" s="194" t="n">
        <f aca="false">SUM(O531+O535+O543+O547+O551+O555+O559)</f>
        <v>943</v>
      </c>
    </row>
    <row r="528" customFormat="false" ht="12.75" hidden="false" customHeight="false" outlineLevel="0" collapsed="false">
      <c r="A528" s="195" t="s">
        <v>52</v>
      </c>
      <c r="B528" s="196" t="n">
        <v>2015</v>
      </c>
      <c r="C528" s="196" t="n">
        <f aca="false">SUM(C532+C536+C540+C544+C548+C552+C556+C560)</f>
        <v>134</v>
      </c>
      <c r="D528" s="196" t="n">
        <f aca="false">SUM(D532+D536+D540+D544+D548+D552+D556+D560)</f>
        <v>115</v>
      </c>
      <c r="E528" s="196" t="n">
        <f aca="false">SUM(E532+E536+E540+E544+E548+E552+E556+E560)</f>
        <v>97</v>
      </c>
      <c r="F528" s="196" t="n">
        <f aca="false">SUM(F532+F536+F540+F544+F548+F552+F556+F560)</f>
        <v>84</v>
      </c>
      <c r="G528" s="196" t="n">
        <f aca="false">SUM(G532+G536+G540+G544+G548+G552+G556+G560)</f>
        <v>95</v>
      </c>
      <c r="H528" s="196" t="n">
        <f aca="false">SUM(H532+H536+H540+H544+H548+H552+H556+H560)</f>
        <v>82</v>
      </c>
      <c r="I528" s="196" t="n">
        <f aca="false">SUM(I532+I536+I540+I544+I548+I552+I556+I560)</f>
        <v>97</v>
      </c>
      <c r="J528" s="196" t="n">
        <f aca="false">SUM(J532+J536+J540+J544+J548+J552+J556+J560)</f>
        <v>110</v>
      </c>
      <c r="K528" s="196" t="n">
        <f aca="false">SUM(K532+K536+K540+K544+K548+K552+K556+K560)</f>
        <v>90</v>
      </c>
      <c r="L528" s="196" t="n">
        <f aca="false">SUM(L532+L536+L540+L544+L548+L552+L556+L560)</f>
        <v>116</v>
      </c>
      <c r="M528" s="196"/>
      <c r="N528" s="196"/>
      <c r="O528" s="196" t="n">
        <f aca="false">SUM(C528:N528)</f>
        <v>1020</v>
      </c>
    </row>
    <row r="529" customFormat="false" ht="12.75" hidden="false" customHeight="false" outlineLevel="0" collapsed="false">
      <c r="A529" s="195" t="s">
        <v>209</v>
      </c>
      <c r="B529" s="197" t="s">
        <v>210</v>
      </c>
      <c r="C529" s="196" t="n">
        <f aca="false">C527-C528</f>
        <v>-19</v>
      </c>
      <c r="D529" s="196" t="n">
        <f aca="false">D527-D528</f>
        <v>-21</v>
      </c>
      <c r="E529" s="196" t="n">
        <f aca="false">E527-E528</f>
        <v>-8</v>
      </c>
      <c r="F529" s="196" t="n">
        <f aca="false">F527-F528</f>
        <v>7</v>
      </c>
      <c r="G529" s="196" t="n">
        <f aca="false">G527-G528</f>
        <v>-5</v>
      </c>
      <c r="H529" s="196" t="n">
        <f aca="false">H527-H528</f>
        <v>9</v>
      </c>
      <c r="I529" s="196" t="n">
        <f aca="false">I527-I528</f>
        <v>26</v>
      </c>
      <c r="J529" s="196" t="n">
        <f aca="false">J527-J528</f>
        <v>-25</v>
      </c>
      <c r="K529" s="196" t="n">
        <f aca="false">K527-K528</f>
        <v>-9</v>
      </c>
      <c r="L529" s="196" t="n">
        <f aca="false">L527-L528</f>
        <v>-32</v>
      </c>
      <c r="M529" s="196"/>
      <c r="N529" s="196"/>
      <c r="O529" s="196" t="n">
        <f aca="false">O527-O528</f>
        <v>-77</v>
      </c>
    </row>
    <row r="530" customFormat="false" ht="13.5" hidden="false" customHeight="false" outlineLevel="0" collapsed="false">
      <c r="A530" s="199"/>
      <c r="B530" s="200" t="s">
        <v>9</v>
      </c>
      <c r="C530" s="201" t="n">
        <f aca="false">C529/C528</f>
        <v>-0.141791044776119</v>
      </c>
      <c r="D530" s="201" t="n">
        <f aca="false">D529/D528</f>
        <v>-0.182608695652174</v>
      </c>
      <c r="E530" s="201" t="n">
        <f aca="false">E529/E528</f>
        <v>-0.0824742268041237</v>
      </c>
      <c r="F530" s="201" t="n">
        <f aca="false">F529/F528</f>
        <v>0.0833333333333333</v>
      </c>
      <c r="G530" s="201" t="n">
        <f aca="false">G529/G528</f>
        <v>-0.0526315789473684</v>
      </c>
      <c r="H530" s="201" t="n">
        <f aca="false">H529/H528</f>
        <v>0.109756097560976</v>
      </c>
      <c r="I530" s="201" t="n">
        <f aca="false">I529/I528</f>
        <v>0.268041237113402</v>
      </c>
      <c r="J530" s="201" t="n">
        <f aca="false">J529/J528</f>
        <v>-0.227272727272727</v>
      </c>
      <c r="K530" s="201" t="n">
        <f aca="false">K529/K528</f>
        <v>-0.1</v>
      </c>
      <c r="L530" s="201" t="n">
        <f aca="false">L529/L528</f>
        <v>-0.275862068965517</v>
      </c>
      <c r="M530" s="201"/>
      <c r="N530" s="201"/>
      <c r="O530" s="201" t="n">
        <f aca="false">O529/O528</f>
        <v>-0.0754901960784314</v>
      </c>
    </row>
    <row r="531" customFormat="false" ht="12.75" hidden="false" customHeight="false" outlineLevel="0" collapsed="false">
      <c r="A531" s="198"/>
      <c r="B531" s="194" t="n">
        <v>2016</v>
      </c>
      <c r="C531" s="194" t="n">
        <v>4</v>
      </c>
      <c r="D531" s="194" t="n">
        <v>2</v>
      </c>
      <c r="E531" s="194" t="n">
        <v>0</v>
      </c>
      <c r="F531" s="194" t="n">
        <v>4</v>
      </c>
      <c r="G531" s="194" t="n">
        <v>2</v>
      </c>
      <c r="H531" s="194" t="n">
        <v>1</v>
      </c>
      <c r="I531" s="194" t="n">
        <v>2</v>
      </c>
      <c r="J531" s="194" t="n">
        <v>0</v>
      </c>
      <c r="K531" s="194" t="n">
        <v>0</v>
      </c>
      <c r="L531" s="194" t="n">
        <v>0</v>
      </c>
      <c r="M531" s="194"/>
      <c r="N531" s="194"/>
      <c r="O531" s="194" t="n">
        <f aca="false">SUM(C531:N531)</f>
        <v>15</v>
      </c>
    </row>
    <row r="532" customFormat="false" ht="12.75" hidden="false" customHeight="false" outlineLevel="0" collapsed="false">
      <c r="A532" s="195" t="s">
        <v>211</v>
      </c>
      <c r="B532" s="196" t="n">
        <v>2015</v>
      </c>
      <c r="C532" s="196" t="n">
        <v>0</v>
      </c>
      <c r="D532" s="196" t="n">
        <v>0</v>
      </c>
      <c r="E532" s="196" t="n">
        <v>0</v>
      </c>
      <c r="F532" s="196" t="n">
        <v>2</v>
      </c>
      <c r="G532" s="196" t="n">
        <v>1</v>
      </c>
      <c r="H532" s="196" t="n">
        <v>4</v>
      </c>
      <c r="I532" s="196" t="n">
        <v>3</v>
      </c>
      <c r="J532" s="196" t="n">
        <v>3</v>
      </c>
      <c r="K532" s="196" t="n">
        <v>0</v>
      </c>
      <c r="L532" s="196" t="n">
        <v>2</v>
      </c>
      <c r="M532" s="196"/>
      <c r="N532" s="196"/>
      <c r="O532" s="196" t="n">
        <f aca="false">SUM(C532:N532)</f>
        <v>15</v>
      </c>
    </row>
    <row r="533" customFormat="false" ht="12.75" hidden="false" customHeight="false" outlineLevel="0" collapsed="false">
      <c r="A533" s="195" t="s">
        <v>212</v>
      </c>
      <c r="B533" s="202" t="s">
        <v>210</v>
      </c>
      <c r="C533" s="196" t="n">
        <f aca="false">C531-C532</f>
        <v>4</v>
      </c>
      <c r="D533" s="196" t="n">
        <f aca="false">D531-D532</f>
        <v>2</v>
      </c>
      <c r="E533" s="196" t="n">
        <f aca="false">E531-E532</f>
        <v>0</v>
      </c>
      <c r="F533" s="196" t="n">
        <f aca="false">F531-F532</f>
        <v>2</v>
      </c>
      <c r="G533" s="196" t="n">
        <f aca="false">G531-G532</f>
        <v>1</v>
      </c>
      <c r="H533" s="196" t="n">
        <f aca="false">H531-H532</f>
        <v>-3</v>
      </c>
      <c r="I533" s="196" t="n">
        <f aca="false">I531-I532</f>
        <v>-1</v>
      </c>
      <c r="J533" s="196" t="n">
        <f aca="false">J531-J532</f>
        <v>-3</v>
      </c>
      <c r="K533" s="196" t="n">
        <f aca="false">K531-K532</f>
        <v>0</v>
      </c>
      <c r="L533" s="196" t="n">
        <f aca="false">L531-L532</f>
        <v>-2</v>
      </c>
      <c r="M533" s="196"/>
      <c r="N533" s="196"/>
      <c r="O533" s="196" t="n">
        <f aca="false">O531-O532</f>
        <v>0</v>
      </c>
    </row>
    <row r="534" customFormat="false" ht="13.5" hidden="false" customHeight="false" outlineLevel="0" collapsed="false">
      <c r="A534" s="199"/>
      <c r="B534" s="200" t="s">
        <v>9</v>
      </c>
      <c r="C534" s="201" t="n">
        <v>0</v>
      </c>
      <c r="D534" s="201" t="n">
        <v>0</v>
      </c>
      <c r="E534" s="201" t="n">
        <v>0.1</v>
      </c>
      <c r="F534" s="201" t="n">
        <f aca="false">F533/F532</f>
        <v>1</v>
      </c>
      <c r="G534" s="201" t="n">
        <f aca="false">G533/G532</f>
        <v>1</v>
      </c>
      <c r="H534" s="201" t="n">
        <f aca="false">H533/H532</f>
        <v>-0.75</v>
      </c>
      <c r="I534" s="201" t="n">
        <f aca="false">I533/I532</f>
        <v>-0.333333333333333</v>
      </c>
      <c r="J534" s="201" t="n">
        <f aca="false">J533/J532</f>
        <v>-1</v>
      </c>
      <c r="K534" s="201" t="n">
        <v>0</v>
      </c>
      <c r="L534" s="201" t="n">
        <v>0</v>
      </c>
      <c r="M534" s="201"/>
      <c r="N534" s="201"/>
      <c r="O534" s="201" t="n">
        <f aca="false">O533/O532</f>
        <v>0</v>
      </c>
    </row>
    <row r="535" customFormat="false" ht="12.75" hidden="false" customHeight="false" outlineLevel="0" collapsed="false">
      <c r="A535" s="198"/>
      <c r="B535" s="194" t="n">
        <v>2016</v>
      </c>
      <c r="C535" s="204" t="n">
        <v>1</v>
      </c>
      <c r="D535" s="204" t="n">
        <v>0</v>
      </c>
      <c r="E535" s="204" t="n">
        <v>0</v>
      </c>
      <c r="F535" s="204" t="n">
        <v>0</v>
      </c>
      <c r="G535" s="204" t="n">
        <v>0</v>
      </c>
      <c r="H535" s="204" t="n">
        <v>0</v>
      </c>
      <c r="I535" s="204" t="n">
        <v>0</v>
      </c>
      <c r="J535" s="204" t="n">
        <v>0</v>
      </c>
      <c r="K535" s="204" t="n">
        <v>1</v>
      </c>
      <c r="L535" s="204" t="n">
        <v>0</v>
      </c>
      <c r="M535" s="204"/>
      <c r="N535" s="204"/>
      <c r="O535" s="194" t="n">
        <f aca="false">SUM(C535:N535)</f>
        <v>2</v>
      </c>
    </row>
    <row r="536" customFormat="false" ht="12.75" hidden="false" customHeight="false" outlineLevel="0" collapsed="false">
      <c r="A536" s="203" t="s">
        <v>213</v>
      </c>
      <c r="B536" s="196" t="n">
        <v>2015</v>
      </c>
      <c r="C536" s="196" t="n">
        <v>0</v>
      </c>
      <c r="D536" s="196" t="n">
        <v>0</v>
      </c>
      <c r="E536" s="196" t="n">
        <v>0</v>
      </c>
      <c r="F536" s="196" t="n">
        <v>0</v>
      </c>
      <c r="G536" s="196" t="n">
        <v>0</v>
      </c>
      <c r="H536" s="196" t="n">
        <v>0</v>
      </c>
      <c r="I536" s="196" t="n">
        <v>1</v>
      </c>
      <c r="J536" s="196" t="n">
        <v>0</v>
      </c>
      <c r="K536" s="196" t="n">
        <v>0</v>
      </c>
      <c r="L536" s="196" t="n">
        <v>0</v>
      </c>
      <c r="M536" s="196"/>
      <c r="N536" s="196"/>
      <c r="O536" s="196" t="n">
        <f aca="false">SUM(C536:N536)</f>
        <v>1</v>
      </c>
    </row>
    <row r="537" customFormat="false" ht="12.75" hidden="false" customHeight="false" outlineLevel="0" collapsed="false">
      <c r="A537" s="195" t="s">
        <v>214</v>
      </c>
      <c r="B537" s="202" t="s">
        <v>210</v>
      </c>
      <c r="C537" s="196" t="n">
        <f aca="false">C535-C536</f>
        <v>1</v>
      </c>
      <c r="D537" s="196" t="n">
        <f aca="false">D535-D536</f>
        <v>0</v>
      </c>
      <c r="E537" s="196" t="n">
        <f aca="false">E535-E536</f>
        <v>0</v>
      </c>
      <c r="F537" s="196" t="n">
        <f aca="false">F535-F536</f>
        <v>0</v>
      </c>
      <c r="G537" s="196" t="n">
        <f aca="false">G535-G536</f>
        <v>0</v>
      </c>
      <c r="H537" s="196" t="n">
        <f aca="false">H535-H536</f>
        <v>0</v>
      </c>
      <c r="I537" s="196" t="n">
        <f aca="false">I535-I536</f>
        <v>-1</v>
      </c>
      <c r="J537" s="196" t="n">
        <f aca="false">J535-J536</f>
        <v>0</v>
      </c>
      <c r="K537" s="196" t="n">
        <f aca="false">K535-K536</f>
        <v>1</v>
      </c>
      <c r="L537" s="196" t="n">
        <f aca="false">L535-L536</f>
        <v>0</v>
      </c>
      <c r="M537" s="196"/>
      <c r="N537" s="196"/>
      <c r="O537" s="196" t="n">
        <f aca="false">O535-O536</f>
        <v>1</v>
      </c>
    </row>
    <row r="538" customFormat="false" ht="13.5" hidden="false" customHeight="false" outlineLevel="0" collapsed="false">
      <c r="A538" s="199"/>
      <c r="B538" s="200" t="s">
        <v>9</v>
      </c>
      <c r="C538" s="201" t="n">
        <v>0</v>
      </c>
      <c r="D538" s="201" t="n">
        <v>0</v>
      </c>
      <c r="E538" s="201" t="n">
        <v>0</v>
      </c>
      <c r="F538" s="201" t="n">
        <v>0</v>
      </c>
      <c r="G538" s="201" t="n">
        <v>0</v>
      </c>
      <c r="H538" s="201" t="n">
        <v>0</v>
      </c>
      <c r="I538" s="201" t="n">
        <f aca="false">I537/I536</f>
        <v>-1</v>
      </c>
      <c r="J538" s="201" t="n">
        <v>0</v>
      </c>
      <c r="K538" s="201" t="n">
        <v>0</v>
      </c>
      <c r="L538" s="201" t="n">
        <v>0</v>
      </c>
      <c r="M538" s="201"/>
      <c r="N538" s="201"/>
      <c r="O538" s="201" t="n">
        <f aca="false">O537/O536</f>
        <v>1</v>
      </c>
    </row>
    <row r="539" customFormat="false" ht="12.75" hidden="false" customHeight="false" outlineLevel="0" collapsed="false">
      <c r="A539" s="198"/>
      <c r="B539" s="194" t="n">
        <v>2016</v>
      </c>
      <c r="C539" s="204" t="n">
        <v>0</v>
      </c>
      <c r="D539" s="204" t="n">
        <v>0</v>
      </c>
      <c r="E539" s="204" t="n">
        <v>0</v>
      </c>
      <c r="F539" s="204" t="n">
        <v>0</v>
      </c>
      <c r="G539" s="204" t="n">
        <v>0</v>
      </c>
      <c r="H539" s="204" t="n">
        <v>0</v>
      </c>
      <c r="I539" s="204" t="n">
        <v>0</v>
      </c>
      <c r="J539" s="204" t="n">
        <v>0</v>
      </c>
      <c r="K539" s="204" t="n">
        <v>0</v>
      </c>
      <c r="L539" s="204" t="n">
        <v>0</v>
      </c>
      <c r="M539" s="204"/>
      <c r="N539" s="204"/>
      <c r="O539" s="194" t="n">
        <f aca="false">SUM(C539:N539)</f>
        <v>0</v>
      </c>
    </row>
    <row r="540" customFormat="false" ht="12.75" hidden="false" customHeight="false" outlineLevel="0" collapsed="false">
      <c r="A540" s="203" t="s">
        <v>215</v>
      </c>
      <c r="B540" s="196" t="n">
        <v>2015</v>
      </c>
      <c r="C540" s="196" t="n">
        <v>0</v>
      </c>
      <c r="D540" s="196" t="n">
        <v>0</v>
      </c>
      <c r="E540" s="196" t="n">
        <v>0</v>
      </c>
      <c r="F540" s="196" t="n">
        <v>0</v>
      </c>
      <c r="G540" s="196" t="n">
        <v>0</v>
      </c>
      <c r="H540" s="196" t="n">
        <v>0</v>
      </c>
      <c r="I540" s="196" t="n">
        <v>0</v>
      </c>
      <c r="J540" s="196" t="n">
        <v>0</v>
      </c>
      <c r="K540" s="196" t="n">
        <v>0</v>
      </c>
      <c r="L540" s="196" t="n">
        <v>0</v>
      </c>
      <c r="M540" s="196"/>
      <c r="N540" s="196"/>
      <c r="O540" s="196" t="n">
        <f aca="false">SUM(C540:N540)</f>
        <v>0</v>
      </c>
    </row>
    <row r="541" customFormat="false" ht="12.75" hidden="false" customHeight="false" outlineLevel="0" collapsed="false">
      <c r="A541" s="203" t="s">
        <v>216</v>
      </c>
      <c r="B541" s="202" t="s">
        <v>210</v>
      </c>
      <c r="C541" s="196" t="n">
        <f aca="false">C539-C540</f>
        <v>0</v>
      </c>
      <c r="D541" s="196" t="n">
        <f aca="false">D539-D540</f>
        <v>0</v>
      </c>
      <c r="E541" s="196" t="n">
        <f aca="false">E539-E540</f>
        <v>0</v>
      </c>
      <c r="F541" s="196" t="n">
        <f aca="false">F539-F540</f>
        <v>0</v>
      </c>
      <c r="G541" s="196" t="n">
        <f aca="false">G539-G540</f>
        <v>0</v>
      </c>
      <c r="H541" s="196" t="n">
        <f aca="false">H539-H540</f>
        <v>0</v>
      </c>
      <c r="I541" s="196" t="n">
        <f aca="false">I539-I540</f>
        <v>0</v>
      </c>
      <c r="J541" s="196" t="n">
        <f aca="false">J539-J540</f>
        <v>0</v>
      </c>
      <c r="K541" s="196" t="n">
        <f aca="false">K539-K540</f>
        <v>0</v>
      </c>
      <c r="L541" s="196" t="n">
        <f aca="false">L539-L540</f>
        <v>0</v>
      </c>
      <c r="M541" s="196"/>
      <c r="N541" s="196"/>
      <c r="O541" s="196" t="n">
        <f aca="false">O539-O540</f>
        <v>0</v>
      </c>
    </row>
    <row r="542" customFormat="false" ht="13.5" hidden="false" customHeight="false" outlineLevel="0" collapsed="false">
      <c r="A542" s="199"/>
      <c r="B542" s="200" t="s">
        <v>9</v>
      </c>
      <c r="C542" s="201" t="n">
        <v>0</v>
      </c>
      <c r="D542" s="201" t="n">
        <v>0</v>
      </c>
      <c r="E542" s="201" t="n">
        <v>0</v>
      </c>
      <c r="F542" s="201" t="n">
        <v>0</v>
      </c>
      <c r="G542" s="201" t="n">
        <v>0</v>
      </c>
      <c r="H542" s="201" t="n">
        <v>0</v>
      </c>
      <c r="I542" s="201" t="n">
        <v>0</v>
      </c>
      <c r="J542" s="201" t="n">
        <v>0</v>
      </c>
      <c r="K542" s="201" t="n">
        <v>0</v>
      </c>
      <c r="L542" s="201" t="n">
        <v>0</v>
      </c>
      <c r="M542" s="201"/>
      <c r="N542" s="201"/>
      <c r="O542" s="201" t="n">
        <v>0</v>
      </c>
    </row>
    <row r="543" customFormat="false" ht="12.75" hidden="false" customHeight="false" outlineLevel="0" collapsed="false">
      <c r="A543" s="198"/>
      <c r="B543" s="194" t="n">
        <v>2016</v>
      </c>
      <c r="C543" s="204" t="n">
        <v>9</v>
      </c>
      <c r="D543" s="204" t="n">
        <v>3</v>
      </c>
      <c r="E543" s="204" t="n">
        <v>2</v>
      </c>
      <c r="F543" s="204" t="n">
        <v>2</v>
      </c>
      <c r="G543" s="204" t="n">
        <v>4</v>
      </c>
      <c r="H543" s="204" t="n">
        <v>8</v>
      </c>
      <c r="I543" s="204" t="n">
        <v>5</v>
      </c>
      <c r="J543" s="204" t="n">
        <v>1</v>
      </c>
      <c r="K543" s="204" t="n">
        <v>3</v>
      </c>
      <c r="L543" s="204" t="n">
        <v>6</v>
      </c>
      <c r="M543" s="204"/>
      <c r="N543" s="204"/>
      <c r="O543" s="194" t="n">
        <f aca="false">SUM(C543:N543)</f>
        <v>43</v>
      </c>
    </row>
    <row r="544" customFormat="false" ht="12.75" hidden="false" customHeight="false" outlineLevel="0" collapsed="false">
      <c r="A544" s="195" t="s">
        <v>217</v>
      </c>
      <c r="B544" s="196" t="n">
        <v>2015</v>
      </c>
      <c r="C544" s="196" t="n">
        <v>6</v>
      </c>
      <c r="D544" s="196" t="n">
        <v>2</v>
      </c>
      <c r="E544" s="196" t="n">
        <v>6</v>
      </c>
      <c r="F544" s="196" t="n">
        <v>6</v>
      </c>
      <c r="G544" s="196" t="n">
        <v>2</v>
      </c>
      <c r="H544" s="196" t="n">
        <v>0</v>
      </c>
      <c r="I544" s="196" t="n">
        <v>2</v>
      </c>
      <c r="J544" s="196" t="n">
        <v>7</v>
      </c>
      <c r="K544" s="196" t="n">
        <v>12</v>
      </c>
      <c r="L544" s="196" t="n">
        <v>4</v>
      </c>
      <c r="M544" s="196"/>
      <c r="N544" s="196"/>
      <c r="O544" s="196" t="n">
        <f aca="false">SUM(C544:N544)</f>
        <v>47</v>
      </c>
    </row>
    <row r="545" customFormat="false" ht="12.75" hidden="false" customHeight="false" outlineLevel="0" collapsed="false">
      <c r="A545" s="198"/>
      <c r="B545" s="202" t="s">
        <v>210</v>
      </c>
      <c r="C545" s="196" t="n">
        <f aca="false">C543-C544</f>
        <v>3</v>
      </c>
      <c r="D545" s="196" t="n">
        <f aca="false">D543-D544</f>
        <v>1</v>
      </c>
      <c r="E545" s="196" t="n">
        <f aca="false">E543-E544</f>
        <v>-4</v>
      </c>
      <c r="F545" s="196" t="n">
        <f aca="false">F543-F544</f>
        <v>-4</v>
      </c>
      <c r="G545" s="196" t="n">
        <f aca="false">G543-G544</f>
        <v>2</v>
      </c>
      <c r="H545" s="196" t="n">
        <f aca="false">H543-H544</f>
        <v>8</v>
      </c>
      <c r="I545" s="196" t="n">
        <f aca="false">I543-I544</f>
        <v>3</v>
      </c>
      <c r="J545" s="196" t="n">
        <f aca="false">J543-J544</f>
        <v>-6</v>
      </c>
      <c r="K545" s="196" t="n">
        <f aca="false">K543-K544</f>
        <v>-9</v>
      </c>
      <c r="L545" s="196" t="n">
        <f aca="false">L543-L544</f>
        <v>2</v>
      </c>
      <c r="M545" s="196"/>
      <c r="N545" s="196"/>
      <c r="O545" s="196" t="n">
        <f aca="false">O543-O544</f>
        <v>-4</v>
      </c>
    </row>
    <row r="546" customFormat="false" ht="13.5" hidden="false" customHeight="false" outlineLevel="0" collapsed="false">
      <c r="A546" s="199"/>
      <c r="B546" s="200" t="s">
        <v>9</v>
      </c>
      <c r="C546" s="201" t="n">
        <f aca="false">C545/C544</f>
        <v>0.5</v>
      </c>
      <c r="D546" s="201" t="n">
        <f aca="false">D545/D544</f>
        <v>0.5</v>
      </c>
      <c r="E546" s="201" t="n">
        <f aca="false">E545/E544</f>
        <v>-0.666666666666667</v>
      </c>
      <c r="F546" s="201" t="n">
        <f aca="false">F545/F544</f>
        <v>-0.666666666666667</v>
      </c>
      <c r="G546" s="201" t="n">
        <f aca="false">G545/G544</f>
        <v>1</v>
      </c>
      <c r="H546" s="201" t="n">
        <v>0</v>
      </c>
      <c r="I546" s="201" t="n">
        <f aca="false">I545/I544</f>
        <v>1.5</v>
      </c>
      <c r="J546" s="201" t="n">
        <f aca="false">J545/J544</f>
        <v>-0.857142857142857</v>
      </c>
      <c r="K546" s="201" t="n">
        <f aca="false">K545/K544</f>
        <v>-0.75</v>
      </c>
      <c r="L546" s="201" t="n">
        <v>0</v>
      </c>
      <c r="M546" s="201"/>
      <c r="N546" s="201"/>
      <c r="O546" s="201" t="n">
        <f aca="false">O545/O544</f>
        <v>-0.0851063829787234</v>
      </c>
    </row>
    <row r="547" customFormat="false" ht="12.75" hidden="false" customHeight="false" outlineLevel="0" collapsed="false">
      <c r="A547" s="198"/>
      <c r="B547" s="194" t="n">
        <v>2016</v>
      </c>
      <c r="C547" s="204" t="n">
        <v>9</v>
      </c>
      <c r="D547" s="204" t="n">
        <v>8</v>
      </c>
      <c r="E547" s="204" t="n">
        <v>7</v>
      </c>
      <c r="F547" s="204" t="n">
        <v>6</v>
      </c>
      <c r="G547" s="204" t="n">
        <v>7</v>
      </c>
      <c r="H547" s="204" t="n">
        <v>11</v>
      </c>
      <c r="I547" s="204" t="n">
        <v>15</v>
      </c>
      <c r="J547" s="204" t="n">
        <v>5</v>
      </c>
      <c r="K547" s="204" t="n">
        <v>6</v>
      </c>
      <c r="L547" s="204" t="n">
        <v>13</v>
      </c>
      <c r="M547" s="204"/>
      <c r="N547" s="204"/>
      <c r="O547" s="194" t="n">
        <f aca="false">SUM(C547:N547)</f>
        <v>87</v>
      </c>
    </row>
    <row r="548" customFormat="false" ht="12.75" hidden="false" customHeight="false" outlineLevel="0" collapsed="false">
      <c r="A548" s="195" t="s">
        <v>218</v>
      </c>
      <c r="B548" s="196" t="n">
        <v>2015</v>
      </c>
      <c r="C548" s="196" t="n">
        <v>12</v>
      </c>
      <c r="D548" s="196" t="n">
        <v>8</v>
      </c>
      <c r="E548" s="196" t="n">
        <v>7</v>
      </c>
      <c r="F548" s="196" t="n">
        <v>7</v>
      </c>
      <c r="G548" s="196" t="n">
        <v>10</v>
      </c>
      <c r="H548" s="196" t="n">
        <v>5</v>
      </c>
      <c r="I548" s="196" t="n">
        <v>8</v>
      </c>
      <c r="J548" s="196" t="n">
        <v>10</v>
      </c>
      <c r="K548" s="196" t="n">
        <v>5</v>
      </c>
      <c r="L548" s="196" t="n">
        <v>16</v>
      </c>
      <c r="M548" s="196"/>
      <c r="N548" s="196"/>
      <c r="O548" s="196" t="n">
        <f aca="false">SUM(C548:N548)</f>
        <v>88</v>
      </c>
    </row>
    <row r="549" customFormat="false" ht="12.75" hidden="false" customHeight="false" outlineLevel="0" collapsed="false">
      <c r="A549" s="195" t="s">
        <v>219</v>
      </c>
      <c r="B549" s="202" t="s">
        <v>210</v>
      </c>
      <c r="C549" s="196" t="n">
        <f aca="false">C547-C548</f>
        <v>-3</v>
      </c>
      <c r="D549" s="196" t="n">
        <f aca="false">D547-D548</f>
        <v>0</v>
      </c>
      <c r="E549" s="196" t="n">
        <f aca="false">E547-E548</f>
        <v>0</v>
      </c>
      <c r="F549" s="196" t="n">
        <f aca="false">F547-F548</f>
        <v>-1</v>
      </c>
      <c r="G549" s="196" t="n">
        <f aca="false">G547-G548</f>
        <v>-3</v>
      </c>
      <c r="H549" s="196" t="n">
        <f aca="false">H547-H548</f>
        <v>6</v>
      </c>
      <c r="I549" s="196" t="n">
        <f aca="false">I547-I548</f>
        <v>7</v>
      </c>
      <c r="J549" s="196" t="n">
        <f aca="false">J547-J548</f>
        <v>-5</v>
      </c>
      <c r="K549" s="196" t="n">
        <f aca="false">K547-K548</f>
        <v>1</v>
      </c>
      <c r="L549" s="196" t="n">
        <f aca="false">L547-L548</f>
        <v>-3</v>
      </c>
      <c r="M549" s="196"/>
      <c r="N549" s="196"/>
      <c r="O549" s="196" t="n">
        <f aca="false">O547-O548</f>
        <v>-1</v>
      </c>
    </row>
    <row r="550" customFormat="false" ht="13.5" hidden="false" customHeight="false" outlineLevel="0" collapsed="false">
      <c r="A550" s="199" t="s">
        <v>2</v>
      </c>
      <c r="B550" s="200" t="s">
        <v>9</v>
      </c>
      <c r="C550" s="201" t="n">
        <f aca="false">C549/C548</f>
        <v>-0.25</v>
      </c>
      <c r="D550" s="201" t="n">
        <f aca="false">D549/D548</f>
        <v>0</v>
      </c>
      <c r="E550" s="201" t="n">
        <f aca="false">E549/E548</f>
        <v>0</v>
      </c>
      <c r="F550" s="201" t="n">
        <f aca="false">F549/F548</f>
        <v>-0.142857142857143</v>
      </c>
      <c r="G550" s="201" t="n">
        <f aca="false">G549/G548</f>
        <v>-0.3</v>
      </c>
      <c r="H550" s="201" t="n">
        <f aca="false">H549/H548</f>
        <v>1.2</v>
      </c>
      <c r="I550" s="201" t="n">
        <f aca="false">I549/I548</f>
        <v>0.875</v>
      </c>
      <c r="J550" s="201" t="n">
        <f aca="false">J549/J548</f>
        <v>-0.5</v>
      </c>
      <c r="K550" s="201" t="n">
        <f aca="false">K549/K548</f>
        <v>0.2</v>
      </c>
      <c r="L550" s="201" t="n">
        <v>0</v>
      </c>
      <c r="M550" s="201"/>
      <c r="N550" s="201"/>
      <c r="O550" s="201" t="n">
        <f aca="false">O549/O548</f>
        <v>-0.0113636363636364</v>
      </c>
    </row>
    <row r="551" customFormat="false" ht="12.75" hidden="false" customHeight="false" outlineLevel="0" collapsed="false">
      <c r="A551" s="198"/>
      <c r="B551" s="194" t="n">
        <v>2016</v>
      </c>
      <c r="C551" s="204" t="n">
        <v>32</v>
      </c>
      <c r="D551" s="204" t="n">
        <v>28</v>
      </c>
      <c r="E551" s="204" t="n">
        <v>24</v>
      </c>
      <c r="F551" s="204" t="n">
        <v>21</v>
      </c>
      <c r="G551" s="204" t="n">
        <v>18</v>
      </c>
      <c r="H551" s="204" t="n">
        <v>15</v>
      </c>
      <c r="I551" s="204" t="n">
        <v>42</v>
      </c>
      <c r="J551" s="204" t="n">
        <v>24</v>
      </c>
      <c r="K551" s="204" t="n">
        <v>23</v>
      </c>
      <c r="L551" s="204" t="n">
        <v>24</v>
      </c>
      <c r="M551" s="204"/>
      <c r="N551" s="204"/>
      <c r="O551" s="194" t="n">
        <f aca="false">SUM(C551:N551)</f>
        <v>251</v>
      </c>
    </row>
    <row r="552" customFormat="false" ht="12.75" hidden="false" customHeight="false" outlineLevel="0" collapsed="false">
      <c r="A552" s="195" t="s">
        <v>220</v>
      </c>
      <c r="B552" s="196" t="n">
        <v>2015</v>
      </c>
      <c r="C552" s="196" t="n">
        <v>37</v>
      </c>
      <c r="D552" s="196" t="n">
        <v>30</v>
      </c>
      <c r="E552" s="196" t="n">
        <v>31</v>
      </c>
      <c r="F552" s="196" t="n">
        <v>23</v>
      </c>
      <c r="G552" s="196" t="n">
        <v>26</v>
      </c>
      <c r="H552" s="196" t="n">
        <v>33</v>
      </c>
      <c r="I552" s="196" t="n">
        <v>29</v>
      </c>
      <c r="J552" s="196" t="n">
        <v>27</v>
      </c>
      <c r="K552" s="196" t="n">
        <v>25</v>
      </c>
      <c r="L552" s="196" t="n">
        <v>30</v>
      </c>
      <c r="M552" s="196"/>
      <c r="N552" s="196"/>
      <c r="O552" s="196" t="n">
        <f aca="false">SUM(C552:N552)</f>
        <v>291</v>
      </c>
    </row>
    <row r="553" customFormat="false" ht="12.75" hidden="false" customHeight="false" outlineLevel="0" collapsed="false">
      <c r="A553" s="198"/>
      <c r="B553" s="202" t="s">
        <v>210</v>
      </c>
      <c r="C553" s="196" t="n">
        <f aca="false">C551-C552</f>
        <v>-5</v>
      </c>
      <c r="D553" s="196" t="n">
        <f aca="false">D551-D552</f>
        <v>-2</v>
      </c>
      <c r="E553" s="196" t="n">
        <f aca="false">E551-E552</f>
        <v>-7</v>
      </c>
      <c r="F553" s="196" t="n">
        <f aca="false">F551-F552</f>
        <v>-2</v>
      </c>
      <c r="G553" s="196" t="n">
        <f aca="false">G551-G552</f>
        <v>-8</v>
      </c>
      <c r="H553" s="196" t="n">
        <f aca="false">H551-H552</f>
        <v>-18</v>
      </c>
      <c r="I553" s="196" t="n">
        <f aca="false">I551-I552</f>
        <v>13</v>
      </c>
      <c r="J553" s="196" t="n">
        <f aca="false">J551-J552</f>
        <v>-3</v>
      </c>
      <c r="K553" s="196" t="n">
        <f aca="false">K551-K552</f>
        <v>-2</v>
      </c>
      <c r="L553" s="196" t="n">
        <f aca="false">L551-L552</f>
        <v>-6</v>
      </c>
      <c r="M553" s="196"/>
      <c r="N553" s="196"/>
      <c r="O553" s="196" t="n">
        <f aca="false">O551-O552</f>
        <v>-40</v>
      </c>
    </row>
    <row r="554" customFormat="false" ht="13.5" hidden="false" customHeight="false" outlineLevel="0" collapsed="false">
      <c r="A554" s="199"/>
      <c r="B554" s="200" t="s">
        <v>9</v>
      </c>
      <c r="C554" s="201" t="n">
        <f aca="false">C553/C552</f>
        <v>-0.135135135135135</v>
      </c>
      <c r="D554" s="201" t="n">
        <f aca="false">D553/D552</f>
        <v>-0.0666666666666667</v>
      </c>
      <c r="E554" s="201" t="n">
        <f aca="false">E553/E552</f>
        <v>-0.225806451612903</v>
      </c>
      <c r="F554" s="201" t="n">
        <f aca="false">F553/F552</f>
        <v>-0.0869565217391304</v>
      </c>
      <c r="G554" s="201" t="n">
        <f aca="false">G553/G552</f>
        <v>-0.307692307692308</v>
      </c>
      <c r="H554" s="201" t="n">
        <f aca="false">H553/H552</f>
        <v>-0.545454545454545</v>
      </c>
      <c r="I554" s="201" t="n">
        <f aca="false">I553/I552</f>
        <v>0.448275862068966</v>
      </c>
      <c r="J554" s="201" t="n">
        <f aca="false">J553/J552</f>
        <v>-0.111111111111111</v>
      </c>
      <c r="K554" s="201" t="n">
        <f aca="false">K553/K552</f>
        <v>-0.08</v>
      </c>
      <c r="L554" s="201" t="n">
        <v>0</v>
      </c>
      <c r="M554" s="201"/>
      <c r="N554" s="201"/>
      <c r="O554" s="201" t="n">
        <f aca="false">O553/O552</f>
        <v>-0.13745704467354</v>
      </c>
    </row>
    <row r="555" customFormat="false" ht="12.75" hidden="false" customHeight="false" outlineLevel="0" collapsed="false">
      <c r="A555" s="198"/>
      <c r="B555" s="194" t="n">
        <v>2016</v>
      </c>
      <c r="C555" s="204" t="n">
        <v>52</v>
      </c>
      <c r="D555" s="204" t="n">
        <v>50</v>
      </c>
      <c r="E555" s="204" t="n">
        <v>50</v>
      </c>
      <c r="F555" s="204" t="n">
        <v>46</v>
      </c>
      <c r="G555" s="204" t="n">
        <v>48</v>
      </c>
      <c r="H555" s="204" t="n">
        <v>50</v>
      </c>
      <c r="I555" s="204" t="n">
        <v>50</v>
      </c>
      <c r="J555" s="204" t="n">
        <v>50</v>
      </c>
      <c r="K555" s="204" t="n">
        <v>38</v>
      </c>
      <c r="L555" s="204" t="n">
        <v>33</v>
      </c>
      <c r="M555" s="204"/>
      <c r="N555" s="204"/>
      <c r="O555" s="194" t="n">
        <f aca="false">SUM(C555:N555)</f>
        <v>467</v>
      </c>
    </row>
    <row r="556" customFormat="false" ht="12.75" hidden="false" customHeight="false" outlineLevel="0" collapsed="false">
      <c r="A556" s="195" t="s">
        <v>221</v>
      </c>
      <c r="B556" s="196" t="n">
        <v>2015</v>
      </c>
      <c r="C556" s="196" t="n">
        <v>72</v>
      </c>
      <c r="D556" s="196" t="n">
        <v>66</v>
      </c>
      <c r="E556" s="196" t="n">
        <v>43</v>
      </c>
      <c r="F556" s="196" t="n">
        <v>39</v>
      </c>
      <c r="G556" s="196" t="n">
        <v>49</v>
      </c>
      <c r="H556" s="196" t="n">
        <v>26</v>
      </c>
      <c r="I556" s="196" t="n">
        <v>45</v>
      </c>
      <c r="J556" s="196" t="n">
        <v>54</v>
      </c>
      <c r="K556" s="196" t="n">
        <v>36</v>
      </c>
      <c r="L556" s="196" t="n">
        <v>52</v>
      </c>
      <c r="M556" s="196"/>
      <c r="N556" s="196"/>
      <c r="O556" s="196" t="n">
        <f aca="false">SUM(C556:N556)</f>
        <v>482</v>
      </c>
    </row>
    <row r="557" customFormat="false" ht="12.75" hidden="false" customHeight="false" outlineLevel="0" collapsed="false">
      <c r="A557" s="195" t="s">
        <v>222</v>
      </c>
      <c r="B557" s="202" t="s">
        <v>210</v>
      </c>
      <c r="C557" s="196" t="n">
        <f aca="false">C555-C556</f>
        <v>-20</v>
      </c>
      <c r="D557" s="196" t="n">
        <f aca="false">D555-D556</f>
        <v>-16</v>
      </c>
      <c r="E557" s="196" t="n">
        <f aca="false">E555-E556</f>
        <v>7</v>
      </c>
      <c r="F557" s="196" t="n">
        <f aca="false">F555-F556</f>
        <v>7</v>
      </c>
      <c r="G557" s="196" t="n">
        <f aca="false">G555-G556</f>
        <v>-1</v>
      </c>
      <c r="H557" s="196" t="n">
        <f aca="false">H555-H556</f>
        <v>24</v>
      </c>
      <c r="I557" s="196" t="n">
        <f aca="false">I555-I556</f>
        <v>5</v>
      </c>
      <c r="J557" s="196" t="n">
        <f aca="false">J555-J556</f>
        <v>-4</v>
      </c>
      <c r="K557" s="196" t="n">
        <f aca="false">K555-K556</f>
        <v>2</v>
      </c>
      <c r="L557" s="196" t="n">
        <f aca="false">L555-L556</f>
        <v>-19</v>
      </c>
      <c r="M557" s="196"/>
      <c r="N557" s="196"/>
      <c r="O557" s="196" t="n">
        <f aca="false">O555-O556</f>
        <v>-15</v>
      </c>
    </row>
    <row r="558" customFormat="false" ht="13.5" hidden="false" customHeight="false" outlineLevel="0" collapsed="false">
      <c r="A558" s="199"/>
      <c r="B558" s="200" t="s">
        <v>9</v>
      </c>
      <c r="C558" s="201" t="n">
        <f aca="false">C557/C556</f>
        <v>-0.277777777777778</v>
      </c>
      <c r="D558" s="201" t="n">
        <f aca="false">D557/D556</f>
        <v>-0.242424242424242</v>
      </c>
      <c r="E558" s="201" t="n">
        <f aca="false">E557/E556</f>
        <v>0.162790697674419</v>
      </c>
      <c r="F558" s="201" t="n">
        <f aca="false">F557/F556</f>
        <v>0.17948717948718</v>
      </c>
      <c r="G558" s="201" t="n">
        <f aca="false">G557/G556</f>
        <v>-0.0204081632653061</v>
      </c>
      <c r="H558" s="201" t="n">
        <f aca="false">H557/H556</f>
        <v>0.923076923076923</v>
      </c>
      <c r="I558" s="201" t="n">
        <f aca="false">I557/I556</f>
        <v>0.111111111111111</v>
      </c>
      <c r="J558" s="201" t="n">
        <f aca="false">J557/J556</f>
        <v>-0.0740740740740741</v>
      </c>
      <c r="K558" s="201" t="n">
        <f aca="false">K557/K556</f>
        <v>0.0555555555555556</v>
      </c>
      <c r="L558" s="201" t="n">
        <v>0</v>
      </c>
      <c r="M558" s="201"/>
      <c r="N558" s="201"/>
      <c r="O558" s="201" t="n">
        <f aca="false">O557/O556</f>
        <v>-0.0311203319502075</v>
      </c>
    </row>
    <row r="559" customFormat="false" ht="12.75" hidden="false" customHeight="false" outlineLevel="0" collapsed="false">
      <c r="A559" s="198"/>
      <c r="B559" s="194" t="n">
        <v>2016</v>
      </c>
      <c r="C559" s="204" t="n">
        <v>8</v>
      </c>
      <c r="D559" s="204" t="n">
        <v>3</v>
      </c>
      <c r="E559" s="204" t="n">
        <v>6</v>
      </c>
      <c r="F559" s="204" t="n">
        <v>12</v>
      </c>
      <c r="G559" s="204" t="n">
        <v>11</v>
      </c>
      <c r="H559" s="204" t="n">
        <v>6</v>
      </c>
      <c r="I559" s="204" t="n">
        <v>9</v>
      </c>
      <c r="J559" s="204" t="n">
        <v>5</v>
      </c>
      <c r="K559" s="204" t="n">
        <v>10</v>
      </c>
      <c r="L559" s="204" t="n">
        <v>8</v>
      </c>
      <c r="M559" s="204"/>
      <c r="N559" s="204"/>
      <c r="O559" s="194" t="n">
        <f aca="false">SUM(C559:N559)</f>
        <v>78</v>
      </c>
    </row>
    <row r="560" customFormat="false" ht="12.75" hidden="false" customHeight="false" outlineLevel="0" collapsed="false">
      <c r="A560" s="195" t="s">
        <v>223</v>
      </c>
      <c r="B560" s="196" t="n">
        <v>2015</v>
      </c>
      <c r="C560" s="196" t="n">
        <v>7</v>
      </c>
      <c r="D560" s="196" t="n">
        <v>9</v>
      </c>
      <c r="E560" s="196" t="n">
        <v>10</v>
      </c>
      <c r="F560" s="196" t="n">
        <v>7</v>
      </c>
      <c r="G560" s="196" t="n">
        <v>7</v>
      </c>
      <c r="H560" s="196" t="n">
        <v>14</v>
      </c>
      <c r="I560" s="196" t="n">
        <v>9</v>
      </c>
      <c r="J560" s="196" t="n">
        <v>9</v>
      </c>
      <c r="K560" s="196" t="n">
        <v>12</v>
      </c>
      <c r="L560" s="196" t="n">
        <v>12</v>
      </c>
      <c r="M560" s="196"/>
      <c r="N560" s="196"/>
      <c r="O560" s="196" t="n">
        <f aca="false">SUM(C560:N560)</f>
        <v>96</v>
      </c>
    </row>
    <row r="561" customFormat="false" ht="12.75" hidden="false" customHeight="false" outlineLevel="0" collapsed="false">
      <c r="A561" s="195" t="s">
        <v>224</v>
      </c>
      <c r="B561" s="202" t="s">
        <v>210</v>
      </c>
      <c r="C561" s="196" t="n">
        <f aca="false">C559-C560</f>
        <v>1</v>
      </c>
      <c r="D561" s="196" t="n">
        <f aca="false">D559-D560</f>
        <v>-6</v>
      </c>
      <c r="E561" s="196" t="n">
        <f aca="false">E559-E560</f>
        <v>-4</v>
      </c>
      <c r="F561" s="196" t="n">
        <f aca="false">F559-F560</f>
        <v>5</v>
      </c>
      <c r="G561" s="196" t="n">
        <f aca="false">G559-G560</f>
        <v>4</v>
      </c>
      <c r="H561" s="196" t="n">
        <f aca="false">H559-H560</f>
        <v>-8</v>
      </c>
      <c r="I561" s="196" t="n">
        <f aca="false">I559-I560</f>
        <v>0</v>
      </c>
      <c r="J561" s="196" t="n">
        <f aca="false">J559-J560</f>
        <v>-4</v>
      </c>
      <c r="K561" s="196" t="n">
        <f aca="false">K559-K560</f>
        <v>-2</v>
      </c>
      <c r="L561" s="196" t="n">
        <f aca="false">L559-L560</f>
        <v>-4</v>
      </c>
      <c r="M561" s="196"/>
      <c r="N561" s="196"/>
      <c r="O561" s="196" t="n">
        <f aca="false">O559-O560</f>
        <v>-18</v>
      </c>
    </row>
    <row r="562" customFormat="false" ht="13.5" hidden="false" customHeight="false" outlineLevel="0" collapsed="false">
      <c r="A562" s="199"/>
      <c r="B562" s="200" t="s">
        <v>9</v>
      </c>
      <c r="C562" s="201" t="n">
        <f aca="false">C561/C560</f>
        <v>0.142857142857143</v>
      </c>
      <c r="D562" s="201" t="n">
        <f aca="false">D561/D560</f>
        <v>-0.666666666666667</v>
      </c>
      <c r="E562" s="201" t="n">
        <f aca="false">E561/E560</f>
        <v>-0.4</v>
      </c>
      <c r="F562" s="201" t="n">
        <f aca="false">F561/F560</f>
        <v>0.714285714285714</v>
      </c>
      <c r="G562" s="201" t="n">
        <f aca="false">G561/G560</f>
        <v>0.571428571428571</v>
      </c>
      <c r="H562" s="201" t="n">
        <f aca="false">H561/H560</f>
        <v>-0.571428571428571</v>
      </c>
      <c r="I562" s="201" t="n">
        <f aca="false">I561/I560</f>
        <v>0</v>
      </c>
      <c r="J562" s="201" t="n">
        <f aca="false">J561/J560</f>
        <v>-0.444444444444444</v>
      </c>
      <c r="K562" s="201" t="n">
        <f aca="false">K561/K560</f>
        <v>-0.166666666666667</v>
      </c>
      <c r="L562" s="201" t="n">
        <v>0</v>
      </c>
      <c r="M562" s="201"/>
      <c r="N562" s="201"/>
      <c r="O562" s="201" t="n">
        <f aca="false">O561/O560</f>
        <v>-0.1875</v>
      </c>
    </row>
  </sheetData>
  <mergeCells count="4">
    <mergeCell ref="A1:O1"/>
    <mergeCell ref="A2:O2"/>
    <mergeCell ref="A3:O3"/>
    <mergeCell ref="A4:B4"/>
  </mergeCells>
  <printOptions headings="false" gridLines="false" gridLinesSet="true" horizontalCentered="false" verticalCentered="false"/>
  <pageMargins left="0.7" right="0.7" top="0.75" bottom="0.75" header="0.511811023622047" footer="0.511811023622047"/>
  <pageSetup paperSize="5"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pageBreakPreview" topLeftCell="A1" colorId="64" zoomScale="65" zoomScaleNormal="100" zoomScalePageLayoutView="65" workbookViewId="0">
      <selection pane="topLeft" activeCell="A1" activeCellId="0" sqref="A1"/>
    </sheetView>
  </sheetViews>
  <sheetFormatPr defaultColWidth="8.6796875" defaultRowHeight="12.75" zeroHeight="false" outlineLevelRow="0" outlineLevelCol="0"/>
  <cols>
    <col collapsed="false" customWidth="true" hidden="false" outlineLevel="0" max="1" min="1" style="0" width="13.57"/>
    <col collapsed="false" customWidth="true" hidden="false" outlineLevel="0" max="9" min="9" style="209" width="9.14"/>
  </cols>
  <sheetData>
    <row r="1" customFormat="false" ht="13.5" hidden="false" customHeight="false" outlineLevel="0" collapsed="false">
      <c r="A1" s="225" t="s">
        <v>226</v>
      </c>
      <c r="B1" s="226" t="s">
        <v>227</v>
      </c>
      <c r="C1" s="226" t="s">
        <v>228</v>
      </c>
      <c r="D1" s="226" t="s">
        <v>229</v>
      </c>
      <c r="E1" s="227" t="s">
        <v>230</v>
      </c>
      <c r="F1" s="226" t="s">
        <v>60</v>
      </c>
      <c r="G1" s="226" t="s">
        <v>231</v>
      </c>
      <c r="H1" s="226" t="s">
        <v>232</v>
      </c>
      <c r="I1" s="228" t="s">
        <v>233</v>
      </c>
      <c r="J1" s="226" t="s">
        <v>234</v>
      </c>
    </row>
    <row r="2" customFormat="false" ht="12.75" hidden="false" customHeight="false" outlineLevel="0" collapsed="false">
      <c r="A2" s="229" t="s">
        <v>172</v>
      </c>
      <c r="B2" s="230" t="n">
        <f aca="false">SUM(C2:J2)</f>
        <v>66</v>
      </c>
      <c r="C2" s="194" t="n">
        <v>0</v>
      </c>
      <c r="D2" s="194" t="n">
        <v>0</v>
      </c>
      <c r="E2" s="194" t="n">
        <v>0</v>
      </c>
      <c r="F2" s="194" t="n">
        <v>2</v>
      </c>
      <c r="G2" s="194" t="n">
        <v>15</v>
      </c>
      <c r="H2" s="194" t="n">
        <v>25</v>
      </c>
      <c r="I2" s="231" t="n">
        <v>24</v>
      </c>
      <c r="J2" s="194" t="n">
        <v>0</v>
      </c>
    </row>
    <row r="3" customFormat="false" ht="12.75" hidden="false" customHeight="false" outlineLevel="0" collapsed="false">
      <c r="A3" s="230" t="s">
        <v>235</v>
      </c>
      <c r="B3" s="230" t="n">
        <f aca="false">SUM(C3:J3)</f>
        <v>198</v>
      </c>
      <c r="C3" s="230" t="n">
        <v>2</v>
      </c>
      <c r="D3" s="230" t="n">
        <v>1</v>
      </c>
      <c r="E3" s="230" t="n">
        <v>0</v>
      </c>
      <c r="F3" s="230" t="n">
        <v>13</v>
      </c>
      <c r="G3" s="230" t="n">
        <v>29</v>
      </c>
      <c r="H3" s="230" t="n">
        <v>61</v>
      </c>
      <c r="I3" s="232" t="n">
        <v>87</v>
      </c>
      <c r="J3" s="230" t="n">
        <v>5</v>
      </c>
    </row>
    <row r="4" customFormat="false" ht="12.75" hidden="false" customHeight="false" outlineLevel="0" collapsed="false">
      <c r="A4" s="230" t="s">
        <v>165</v>
      </c>
      <c r="B4" s="230" t="n">
        <f aca="false">SUM(C4:J4)</f>
        <v>516</v>
      </c>
      <c r="C4" s="230" t="n">
        <v>8</v>
      </c>
      <c r="D4" s="230" t="n">
        <v>1</v>
      </c>
      <c r="E4" s="230" t="n">
        <v>0</v>
      </c>
      <c r="F4" s="230" t="n">
        <v>20</v>
      </c>
      <c r="G4" s="230" t="n">
        <f aca="false">63+15</f>
        <v>78</v>
      </c>
      <c r="H4" s="230" t="n">
        <f aca="false">106+50</f>
        <v>156</v>
      </c>
      <c r="I4" s="232" t="n">
        <f aca="false">186+50</f>
        <v>236</v>
      </c>
      <c r="J4" s="230" t="n">
        <f aca="false">17</f>
        <v>17</v>
      </c>
    </row>
    <row r="5" customFormat="false" ht="12.75" hidden="false" customHeight="false" outlineLevel="0" collapsed="false">
      <c r="A5" s="230" t="s">
        <v>236</v>
      </c>
      <c r="B5" s="230" t="n">
        <f aca="false">SUM(C5:J5)</f>
        <v>168</v>
      </c>
      <c r="C5" s="230" t="n">
        <v>7</v>
      </c>
      <c r="D5" s="230" t="n">
        <v>1</v>
      </c>
      <c r="E5" s="230" t="n">
        <v>0</v>
      </c>
      <c r="F5" s="230" t="n">
        <v>19</v>
      </c>
      <c r="G5" s="230" t="n">
        <v>11</v>
      </c>
      <c r="H5" s="230" t="n">
        <v>39</v>
      </c>
      <c r="I5" s="232" t="n">
        <v>70</v>
      </c>
      <c r="J5" s="230" t="n">
        <v>21</v>
      </c>
    </row>
    <row r="6" customFormat="false" ht="12.75" hidden="false" customHeight="false" outlineLevel="0" collapsed="false">
      <c r="A6" s="230" t="s">
        <v>189</v>
      </c>
      <c r="B6" s="230" t="n">
        <f aca="false">SUM(C6:J6)</f>
        <v>163</v>
      </c>
      <c r="C6" s="230" t="n">
        <v>5</v>
      </c>
      <c r="D6" s="230" t="n">
        <v>0</v>
      </c>
      <c r="E6" s="230" t="n">
        <v>0</v>
      </c>
      <c r="F6" s="230" t="n">
        <v>9</v>
      </c>
      <c r="G6" s="230" t="n">
        <v>13</v>
      </c>
      <c r="H6" s="230" t="n">
        <v>41</v>
      </c>
      <c r="I6" s="232" t="n">
        <v>84</v>
      </c>
      <c r="J6" s="230" t="n">
        <v>11</v>
      </c>
    </row>
    <row r="7" customFormat="false" ht="12.75" hidden="false" customHeight="false" outlineLevel="0" collapsed="false">
      <c r="A7" s="230" t="s">
        <v>112</v>
      </c>
      <c r="B7" s="230" t="n">
        <f aca="false">SUM(C7:J7)</f>
        <v>130</v>
      </c>
      <c r="C7" s="230" t="n">
        <v>0</v>
      </c>
      <c r="D7" s="230" t="n">
        <v>0</v>
      </c>
      <c r="E7" s="230" t="n">
        <v>0</v>
      </c>
      <c r="F7" s="230" t="n">
        <v>12</v>
      </c>
      <c r="G7" s="230" t="n">
        <v>14</v>
      </c>
      <c r="H7" s="230" t="n">
        <v>38</v>
      </c>
      <c r="I7" s="232" t="n">
        <v>62</v>
      </c>
      <c r="J7" s="230" t="n">
        <v>4</v>
      </c>
    </row>
    <row r="8" customFormat="false" ht="12.75" hidden="false" customHeight="false" outlineLevel="0" collapsed="false">
      <c r="A8" s="230" t="s">
        <v>82</v>
      </c>
      <c r="B8" s="230" t="n">
        <f aca="false">SUM(C8:J8)</f>
        <v>694</v>
      </c>
      <c r="C8" s="230" t="n">
        <f aca="false">4+3</f>
        <v>7</v>
      </c>
      <c r="D8" s="230" t="n">
        <v>3</v>
      </c>
      <c r="E8" s="230" t="n">
        <v>0</v>
      </c>
      <c r="F8" s="230" t="n">
        <f aca="false">26+15</f>
        <v>41</v>
      </c>
      <c r="G8" s="230" t="n">
        <f aca="false">63+31</f>
        <v>94</v>
      </c>
      <c r="H8" s="230" t="n">
        <f aca="false">85+53</f>
        <v>138</v>
      </c>
      <c r="I8" s="232" t="n">
        <f aca="false">266+91</f>
        <v>357</v>
      </c>
      <c r="J8" s="230" t="n">
        <f aca="false">38+16</f>
        <v>54</v>
      </c>
    </row>
    <row r="9" customFormat="false" ht="12.75" hidden="false" customHeight="false" outlineLevel="0" collapsed="false">
      <c r="A9" s="230" t="s">
        <v>158</v>
      </c>
      <c r="B9" s="230" t="n">
        <f aca="false">SUM(C9:J9)</f>
        <v>118</v>
      </c>
      <c r="C9" s="230" t="n">
        <v>2</v>
      </c>
      <c r="D9" s="230" t="n">
        <v>2</v>
      </c>
      <c r="E9" s="230" t="n">
        <v>0</v>
      </c>
      <c r="F9" s="230" t="n">
        <v>5</v>
      </c>
      <c r="G9" s="230" t="n">
        <v>24</v>
      </c>
      <c r="H9" s="230" t="n">
        <v>37</v>
      </c>
      <c r="I9" s="232" t="n">
        <v>46</v>
      </c>
      <c r="J9" s="230" t="n">
        <v>2</v>
      </c>
    </row>
    <row r="10" customFormat="false" ht="12.75" hidden="false" customHeight="false" outlineLevel="0" collapsed="false">
      <c r="A10" s="230" t="s">
        <v>84</v>
      </c>
      <c r="B10" s="230" t="n">
        <f aca="false">SUM(C10:J10)</f>
        <v>381</v>
      </c>
      <c r="C10" s="230" t="n">
        <v>2</v>
      </c>
      <c r="D10" s="230" t="n">
        <v>0</v>
      </c>
      <c r="E10" s="230" t="n">
        <v>0</v>
      </c>
      <c r="F10" s="230" t="n">
        <v>31</v>
      </c>
      <c r="G10" s="230" t="n">
        <v>25</v>
      </c>
      <c r="H10" s="230" t="n">
        <v>83</v>
      </c>
      <c r="I10" s="232" t="n">
        <v>200</v>
      </c>
      <c r="J10" s="230" t="n">
        <v>40</v>
      </c>
    </row>
    <row r="11" customFormat="false" ht="12.75" hidden="false" customHeight="false" outlineLevel="0" collapsed="false">
      <c r="A11" s="230" t="s">
        <v>190</v>
      </c>
      <c r="B11" s="230" t="n">
        <f aca="false">SUM(C11:J11)</f>
        <v>250</v>
      </c>
      <c r="C11" s="230" t="n">
        <v>3</v>
      </c>
      <c r="D11" s="230" t="n">
        <v>1</v>
      </c>
      <c r="E11" s="230" t="n">
        <v>0</v>
      </c>
      <c r="F11" s="230" t="n">
        <v>6</v>
      </c>
      <c r="G11" s="230" t="n">
        <v>19</v>
      </c>
      <c r="H11" s="230" t="n">
        <v>77</v>
      </c>
      <c r="I11" s="232" t="n">
        <v>109</v>
      </c>
      <c r="J11" s="230" t="n">
        <v>35</v>
      </c>
    </row>
    <row r="12" customFormat="false" ht="12.75" hidden="false" customHeight="false" outlineLevel="0" collapsed="false">
      <c r="A12" s="230" t="s">
        <v>237</v>
      </c>
      <c r="B12" s="230" t="n">
        <f aca="false">SUM(C12:J12)</f>
        <v>3258</v>
      </c>
      <c r="C12" s="230" t="n">
        <f aca="false">7+9+3+3</f>
        <v>22</v>
      </c>
      <c r="D12" s="230" t="n">
        <f aca="false">11</f>
        <v>11</v>
      </c>
      <c r="E12" s="230" t="n">
        <v>0</v>
      </c>
      <c r="F12" s="230" t="n">
        <f aca="false">85+104+74+7</f>
        <v>270</v>
      </c>
      <c r="G12" s="230" t="n">
        <f aca="false">31+31+34+9</f>
        <v>105</v>
      </c>
      <c r="H12" s="230" t="n">
        <f aca="false">110+176+92+55</f>
        <v>433</v>
      </c>
      <c r="I12" s="232" t="n">
        <f aca="false">983+487+296+42</f>
        <v>1808</v>
      </c>
      <c r="J12" s="230" t="n">
        <f aca="false">231+232+135+11</f>
        <v>609</v>
      </c>
    </row>
    <row r="13" customFormat="false" ht="12.75" hidden="false" customHeight="false" outlineLevel="0" collapsed="false">
      <c r="A13" s="230" t="s">
        <v>113</v>
      </c>
      <c r="B13" s="230" t="n">
        <f aca="false">SUM(C13:J13)</f>
        <v>169</v>
      </c>
      <c r="C13" s="230" t="n">
        <v>5</v>
      </c>
      <c r="D13" s="230" t="n">
        <v>0</v>
      </c>
      <c r="E13" s="230" t="n">
        <v>0</v>
      </c>
      <c r="F13" s="230" t="n">
        <v>11</v>
      </c>
      <c r="G13" s="230" t="n">
        <v>14</v>
      </c>
      <c r="H13" s="230" t="n">
        <v>38</v>
      </c>
      <c r="I13" s="232" t="n">
        <v>96</v>
      </c>
      <c r="J13" s="230" t="n">
        <v>5</v>
      </c>
    </row>
    <row r="14" customFormat="false" ht="12.75" hidden="false" customHeight="false" outlineLevel="0" collapsed="false">
      <c r="A14" s="230" t="s">
        <v>124</v>
      </c>
      <c r="B14" s="230" t="n">
        <f aca="false">SUM(C14:J14)</f>
        <v>1824</v>
      </c>
      <c r="C14" s="230" t="n">
        <v>21</v>
      </c>
      <c r="D14" s="230" t="n">
        <v>6</v>
      </c>
      <c r="E14" s="230" t="n">
        <v>0</v>
      </c>
      <c r="F14" s="230" t="n">
        <v>134</v>
      </c>
      <c r="G14" s="230" t="n">
        <v>79</v>
      </c>
      <c r="H14" s="230" t="n">
        <v>315</v>
      </c>
      <c r="I14" s="232" t="n">
        <v>1105</v>
      </c>
      <c r="J14" s="230" t="n">
        <v>164</v>
      </c>
    </row>
    <row r="15" customFormat="false" ht="12.75" hidden="false" customHeight="false" outlineLevel="0" collapsed="false">
      <c r="A15" s="230" t="s">
        <v>85</v>
      </c>
      <c r="B15" s="230" t="n">
        <f aca="false">SUM(C15:J15)</f>
        <v>225</v>
      </c>
      <c r="C15" s="230" t="n">
        <v>0</v>
      </c>
      <c r="D15" s="230" t="n">
        <v>1</v>
      </c>
      <c r="E15" s="230" t="n">
        <v>0</v>
      </c>
      <c r="F15" s="230" t="n">
        <v>11</v>
      </c>
      <c r="G15" s="230" t="n">
        <v>31</v>
      </c>
      <c r="H15" s="230" t="n">
        <v>49</v>
      </c>
      <c r="I15" s="232" t="n">
        <v>129</v>
      </c>
      <c r="J15" s="230" t="n">
        <v>4</v>
      </c>
    </row>
    <row r="16" customFormat="false" ht="12.75" hidden="false" customHeight="false" outlineLevel="0" collapsed="false">
      <c r="A16" s="230" t="s">
        <v>155</v>
      </c>
      <c r="B16" s="230" t="n">
        <f aca="false">SUM(C16:J16)</f>
        <v>386</v>
      </c>
      <c r="C16" s="230" t="n">
        <v>14</v>
      </c>
      <c r="D16" s="230" t="n">
        <v>1</v>
      </c>
      <c r="E16" s="230" t="n">
        <v>0</v>
      </c>
      <c r="F16" s="230" t="n">
        <v>24</v>
      </c>
      <c r="G16" s="230" t="n">
        <v>35</v>
      </c>
      <c r="H16" s="230" t="n">
        <v>80</v>
      </c>
      <c r="I16" s="232" t="n">
        <v>212</v>
      </c>
      <c r="J16" s="230" t="n">
        <v>20</v>
      </c>
    </row>
    <row r="17" customFormat="false" ht="12.75" hidden="false" customHeight="false" outlineLevel="0" collapsed="false">
      <c r="A17" s="230" t="s">
        <v>238</v>
      </c>
      <c r="B17" s="230" t="n">
        <f aca="false">SUM(C17:J17)</f>
        <v>2334</v>
      </c>
      <c r="C17" s="230" t="n">
        <f aca="false">4+19+3</f>
        <v>26</v>
      </c>
      <c r="D17" s="230" t="n">
        <f aca="false">4</f>
        <v>4</v>
      </c>
      <c r="E17" s="230" t="n">
        <v>0</v>
      </c>
      <c r="F17" s="230" t="n">
        <f aca="false">2+45+66+53+26</f>
        <v>192</v>
      </c>
      <c r="G17" s="230" t="n">
        <f aca="false">33+74+19+10</f>
        <v>136</v>
      </c>
      <c r="H17" s="230" t="n">
        <f aca="false">106+222+88+10</f>
        <v>426</v>
      </c>
      <c r="I17" s="232" t="n">
        <f aca="false">16+306+578+353+122</f>
        <v>1375</v>
      </c>
      <c r="J17" s="230" t="n">
        <f aca="false">63+55+51+6</f>
        <v>175</v>
      </c>
    </row>
    <row r="18" customFormat="false" ht="12.75" hidden="false" customHeight="false" outlineLevel="0" collapsed="false">
      <c r="A18" s="230" t="s">
        <v>135</v>
      </c>
      <c r="B18" s="230" t="n">
        <f aca="false">SUM(C18:J18)</f>
        <v>239</v>
      </c>
      <c r="C18" s="230" t="n">
        <v>7</v>
      </c>
      <c r="D18" s="230" t="n">
        <v>3</v>
      </c>
      <c r="E18" s="230" t="n">
        <v>0</v>
      </c>
      <c r="F18" s="230" t="n">
        <v>18</v>
      </c>
      <c r="G18" s="230" t="n">
        <v>15</v>
      </c>
      <c r="H18" s="230" t="n">
        <v>55</v>
      </c>
      <c r="I18" s="232" t="n">
        <v>125</v>
      </c>
      <c r="J18" s="230" t="n">
        <v>16</v>
      </c>
    </row>
    <row r="19" customFormat="false" ht="12.75" hidden="false" customHeight="false" outlineLevel="0" collapsed="false">
      <c r="A19" s="230" t="s">
        <v>159</v>
      </c>
      <c r="B19" s="230" t="n">
        <f aca="false">SUM(C19:J19)</f>
        <v>491</v>
      </c>
      <c r="C19" s="230" t="n">
        <v>7</v>
      </c>
      <c r="D19" s="230" t="n">
        <v>1</v>
      </c>
      <c r="E19" s="230" t="n">
        <v>0</v>
      </c>
      <c r="F19" s="230" t="n">
        <v>36</v>
      </c>
      <c r="G19" s="230" t="n">
        <v>70</v>
      </c>
      <c r="H19" s="230" t="n">
        <v>72</v>
      </c>
      <c r="I19" s="232" t="n">
        <v>267</v>
      </c>
      <c r="J19" s="230" t="n">
        <v>38</v>
      </c>
    </row>
    <row r="20" customFormat="false" ht="12.75" hidden="false" customHeight="false" outlineLevel="0" collapsed="false">
      <c r="A20" s="230" t="s">
        <v>180</v>
      </c>
      <c r="B20" s="230" t="n">
        <f aca="false">SUM(C20:J20)</f>
        <v>80</v>
      </c>
      <c r="C20" s="230" t="n">
        <v>0</v>
      </c>
      <c r="D20" s="230" t="n">
        <v>0</v>
      </c>
      <c r="E20" s="230" t="n">
        <v>0</v>
      </c>
      <c r="F20" s="230" t="n">
        <v>4</v>
      </c>
      <c r="G20" s="230" t="n">
        <v>15</v>
      </c>
      <c r="H20" s="230" t="n">
        <v>24</v>
      </c>
      <c r="I20" s="232" t="n">
        <v>35</v>
      </c>
      <c r="J20" s="230" t="n">
        <v>2</v>
      </c>
    </row>
    <row r="21" customFormat="false" ht="12.75" hidden="false" customHeight="false" outlineLevel="0" collapsed="false">
      <c r="A21" s="230" t="s">
        <v>86</v>
      </c>
      <c r="B21" s="230" t="n">
        <f aca="false">SUM(C21:J21)</f>
        <v>113</v>
      </c>
      <c r="C21" s="230" t="n">
        <v>3</v>
      </c>
      <c r="D21" s="230" t="n">
        <v>0</v>
      </c>
      <c r="E21" s="230" t="n">
        <v>0</v>
      </c>
      <c r="F21" s="230" t="n">
        <v>5</v>
      </c>
      <c r="G21" s="230" t="n">
        <v>13</v>
      </c>
      <c r="H21" s="230" t="n">
        <v>29</v>
      </c>
      <c r="I21" s="232" t="n">
        <v>49</v>
      </c>
      <c r="J21" s="230" t="n">
        <v>14</v>
      </c>
    </row>
    <row r="22" customFormat="false" ht="12.75" hidden="false" customHeight="false" outlineLevel="0" collapsed="false">
      <c r="A22" s="230" t="s">
        <v>125</v>
      </c>
      <c r="B22" s="230" t="n">
        <f aca="false">SUM(C22:J22)</f>
        <v>277</v>
      </c>
      <c r="C22" s="230" t="n">
        <v>10</v>
      </c>
      <c r="D22" s="230" t="n">
        <v>1</v>
      </c>
      <c r="E22" s="230" t="n">
        <v>0</v>
      </c>
      <c r="F22" s="230" t="n">
        <v>28</v>
      </c>
      <c r="G22" s="230" t="n">
        <v>23</v>
      </c>
      <c r="H22" s="230" t="n">
        <v>47</v>
      </c>
      <c r="I22" s="232" t="n">
        <v>146</v>
      </c>
      <c r="J22" s="230" t="n">
        <v>22</v>
      </c>
    </row>
    <row r="23" customFormat="false" ht="12.75" hidden="false" customHeight="false" outlineLevel="0" collapsed="false">
      <c r="A23" s="232" t="s">
        <v>191</v>
      </c>
      <c r="B23" s="232" t="n">
        <f aca="false">SUM(C23:J23)</f>
        <v>230</v>
      </c>
      <c r="C23" s="232" t="n">
        <v>3</v>
      </c>
      <c r="D23" s="232" t="n">
        <v>0</v>
      </c>
      <c r="E23" s="232" t="n">
        <v>0</v>
      </c>
      <c r="F23" s="232" t="n">
        <v>14</v>
      </c>
      <c r="G23" s="232" t="n">
        <v>32</v>
      </c>
      <c r="H23" s="232" t="n">
        <v>68</v>
      </c>
      <c r="I23" s="232" t="n">
        <v>106</v>
      </c>
      <c r="J23" s="232" t="n">
        <v>7</v>
      </c>
      <c r="K23" s="209"/>
    </row>
    <row r="24" customFormat="false" ht="12.75" hidden="false" customHeight="false" outlineLevel="0" collapsed="false">
      <c r="A24" s="232" t="s">
        <v>192</v>
      </c>
      <c r="B24" s="232" t="n">
        <f aca="false">SUM(C24:J24)</f>
        <v>154</v>
      </c>
      <c r="C24" s="232" t="n">
        <v>3</v>
      </c>
      <c r="D24" s="232" t="n">
        <v>0</v>
      </c>
      <c r="E24" s="232" t="n">
        <v>0</v>
      </c>
      <c r="F24" s="232" t="n">
        <v>6</v>
      </c>
      <c r="G24" s="232" t="n">
        <v>14</v>
      </c>
      <c r="H24" s="232" t="n">
        <v>42</v>
      </c>
      <c r="I24" s="232" t="n">
        <v>70</v>
      </c>
      <c r="J24" s="232" t="n">
        <v>19</v>
      </c>
      <c r="K24" s="209"/>
    </row>
    <row r="25" customFormat="false" ht="12.75" hidden="false" customHeight="false" outlineLevel="0" collapsed="false">
      <c r="A25" s="230" t="s">
        <v>136</v>
      </c>
      <c r="B25" s="230" t="n">
        <f aca="false">SUM(C25:J25)</f>
        <v>187</v>
      </c>
      <c r="C25" s="230" t="n">
        <v>2</v>
      </c>
      <c r="D25" s="230" t="n">
        <v>1</v>
      </c>
      <c r="E25" s="230" t="n">
        <v>0</v>
      </c>
      <c r="F25" s="230" t="n">
        <v>17</v>
      </c>
      <c r="G25" s="230" t="n">
        <v>7</v>
      </c>
      <c r="H25" s="230" t="n">
        <v>43</v>
      </c>
      <c r="I25" s="232" t="n">
        <v>75</v>
      </c>
      <c r="J25" s="230" t="n">
        <v>42</v>
      </c>
    </row>
    <row r="26" customFormat="false" ht="12.75" hidden="false" customHeight="false" outlineLevel="0" collapsed="false">
      <c r="A26" s="230" t="s">
        <v>181</v>
      </c>
      <c r="B26" s="230" t="n">
        <f aca="false">SUM(C26:J26)</f>
        <v>48</v>
      </c>
      <c r="C26" s="230" t="n">
        <v>2</v>
      </c>
      <c r="D26" s="230" t="n">
        <v>0</v>
      </c>
      <c r="E26" s="230" t="n">
        <v>0</v>
      </c>
      <c r="F26" s="230" t="n">
        <v>0</v>
      </c>
      <c r="G26" s="230" t="n">
        <v>2</v>
      </c>
      <c r="H26" s="230" t="n">
        <v>18</v>
      </c>
      <c r="I26" s="232" t="n">
        <v>24</v>
      </c>
      <c r="J26" s="230" t="n">
        <v>2</v>
      </c>
    </row>
    <row r="27" s="209" customFormat="true" ht="12.75" hidden="false" customHeight="false" outlineLevel="0" collapsed="false">
      <c r="A27" s="230" t="s">
        <v>137</v>
      </c>
      <c r="B27" s="230" t="n">
        <f aca="false">SUM(C27:J27)</f>
        <v>650</v>
      </c>
      <c r="C27" s="230" t="n">
        <v>8</v>
      </c>
      <c r="D27" s="230" t="n">
        <v>3</v>
      </c>
      <c r="E27" s="230" t="n">
        <v>0</v>
      </c>
      <c r="F27" s="230" t="n">
        <v>44</v>
      </c>
      <c r="G27" s="230" t="n">
        <v>31</v>
      </c>
      <c r="H27" s="230" t="n">
        <v>119</v>
      </c>
      <c r="I27" s="232" t="n">
        <v>383</v>
      </c>
      <c r="J27" s="230" t="n">
        <v>62</v>
      </c>
      <c r="K27" s="0"/>
    </row>
    <row r="28" s="209" customFormat="true" ht="12.75" hidden="false" customHeight="false" outlineLevel="0" collapsed="false">
      <c r="A28" s="230" t="s">
        <v>182</v>
      </c>
      <c r="B28" s="230" t="n">
        <f aca="false">SUM(C28:J28)</f>
        <v>347</v>
      </c>
      <c r="C28" s="230" t="n">
        <v>7</v>
      </c>
      <c r="D28" s="230" t="n">
        <v>6</v>
      </c>
      <c r="E28" s="230" t="n">
        <v>0</v>
      </c>
      <c r="F28" s="230" t="n">
        <v>17</v>
      </c>
      <c r="G28" s="230" t="n">
        <v>62</v>
      </c>
      <c r="H28" s="230" t="n">
        <v>76</v>
      </c>
      <c r="I28" s="232" t="n">
        <v>169</v>
      </c>
      <c r="J28" s="230" t="n">
        <v>10</v>
      </c>
      <c r="K28" s="0"/>
    </row>
    <row r="29" customFormat="false" ht="12.75" hidden="false" customHeight="false" outlineLevel="0" collapsed="false">
      <c r="A29" s="230" t="s">
        <v>87</v>
      </c>
      <c r="B29" s="230" t="n">
        <f aca="false">SUM(C29:J29)</f>
        <v>94</v>
      </c>
      <c r="C29" s="230" t="n">
        <v>1</v>
      </c>
      <c r="D29" s="230" t="n">
        <v>1</v>
      </c>
      <c r="E29" s="230" t="n">
        <v>0</v>
      </c>
      <c r="F29" s="230" t="n">
        <v>6</v>
      </c>
      <c r="G29" s="230" t="n">
        <v>11</v>
      </c>
      <c r="H29" s="230" t="n">
        <v>32</v>
      </c>
      <c r="I29" s="232" t="n">
        <v>36</v>
      </c>
      <c r="J29" s="230" t="n">
        <v>7</v>
      </c>
    </row>
    <row r="30" customFormat="false" ht="12.75" hidden="false" customHeight="false" outlineLevel="0" collapsed="false">
      <c r="A30" s="230" t="s">
        <v>93</v>
      </c>
      <c r="B30" s="230" t="n">
        <f aca="false">SUM(C30:J30)</f>
        <v>127</v>
      </c>
      <c r="C30" s="230" t="n">
        <v>3</v>
      </c>
      <c r="D30" s="230" t="n">
        <v>0</v>
      </c>
      <c r="E30" s="230" t="n">
        <v>1</v>
      </c>
      <c r="F30" s="230" t="n">
        <v>2</v>
      </c>
      <c r="G30" s="230" t="n">
        <v>15</v>
      </c>
      <c r="H30" s="230" t="n">
        <v>23</v>
      </c>
      <c r="I30" s="232" t="n">
        <v>83</v>
      </c>
      <c r="J30" s="230" t="n">
        <v>0</v>
      </c>
    </row>
    <row r="31" customFormat="false" ht="12.75" hidden="false" customHeight="false" outlineLevel="0" collapsed="false">
      <c r="A31" s="230" t="s">
        <v>160</v>
      </c>
      <c r="B31" s="230" t="n">
        <f aca="false">SUM(C31:J31)</f>
        <v>430</v>
      </c>
      <c r="C31" s="230" t="n">
        <v>7</v>
      </c>
      <c r="D31" s="230" t="n">
        <v>3</v>
      </c>
      <c r="E31" s="230" t="n">
        <v>0</v>
      </c>
      <c r="F31" s="230" t="n">
        <v>20</v>
      </c>
      <c r="G31" s="230" t="n">
        <v>50</v>
      </c>
      <c r="H31" s="230" t="n">
        <v>127</v>
      </c>
      <c r="I31" s="232" t="n">
        <v>216</v>
      </c>
      <c r="J31" s="230" t="n">
        <v>7</v>
      </c>
    </row>
    <row r="32" customFormat="false" ht="12.75" hidden="false" customHeight="false" outlineLevel="0" collapsed="false">
      <c r="A32" s="230" t="s">
        <v>94</v>
      </c>
      <c r="B32" s="230" t="n">
        <f aca="false">SUM(C32:J32)</f>
        <v>92</v>
      </c>
      <c r="C32" s="230" t="n">
        <v>5</v>
      </c>
      <c r="D32" s="230" t="n">
        <v>0</v>
      </c>
      <c r="E32" s="230" t="n">
        <v>0</v>
      </c>
      <c r="F32" s="230" t="n">
        <v>4</v>
      </c>
      <c r="G32" s="230" t="n">
        <v>16</v>
      </c>
      <c r="H32" s="230" t="n">
        <v>18</v>
      </c>
      <c r="I32" s="232" t="n">
        <v>49</v>
      </c>
      <c r="J32" s="230" t="n">
        <v>0</v>
      </c>
    </row>
    <row r="33" customFormat="false" ht="12.75" hidden="false" customHeight="false" outlineLevel="0" collapsed="false">
      <c r="A33" s="230" t="s">
        <v>138</v>
      </c>
      <c r="B33" s="230" t="n">
        <f aca="false">SUM(C33:J33)</f>
        <v>848</v>
      </c>
      <c r="C33" s="230" t="n">
        <v>15</v>
      </c>
      <c r="D33" s="230" t="n">
        <v>2</v>
      </c>
      <c r="E33" s="230" t="n">
        <v>0</v>
      </c>
      <c r="F33" s="230" t="n">
        <f aca="false">37+27</f>
        <v>64</v>
      </c>
      <c r="G33" s="230" t="n">
        <f aca="false">26+18</f>
        <v>44</v>
      </c>
      <c r="H33" s="230" t="n">
        <f aca="false">90+44</f>
        <v>134</v>
      </c>
      <c r="I33" s="232" t="n">
        <f aca="false">275+234</f>
        <v>509</v>
      </c>
      <c r="J33" s="230" t="n">
        <f aca="false">44+36</f>
        <v>80</v>
      </c>
    </row>
    <row r="34" customFormat="false" ht="12.75" hidden="false" customHeight="false" outlineLevel="0" collapsed="false">
      <c r="A34" s="230" t="s">
        <v>126</v>
      </c>
      <c r="B34" s="230" t="n">
        <f aca="false">SUM(C34:J34)</f>
        <v>189</v>
      </c>
      <c r="C34" s="230" t="n">
        <v>7</v>
      </c>
      <c r="D34" s="230" t="n">
        <v>1</v>
      </c>
      <c r="E34" s="230" t="n">
        <v>0</v>
      </c>
      <c r="F34" s="230" t="n">
        <v>22</v>
      </c>
      <c r="G34" s="230" t="n">
        <v>14</v>
      </c>
      <c r="H34" s="230" t="n">
        <v>38</v>
      </c>
      <c r="I34" s="232" t="n">
        <v>93</v>
      </c>
      <c r="J34" s="230" t="n">
        <v>14</v>
      </c>
    </row>
    <row r="35" customFormat="false" ht="12.75" hidden="false" customHeight="false" outlineLevel="0" collapsed="false">
      <c r="A35" s="230" t="s">
        <v>88</v>
      </c>
      <c r="B35" s="230" t="n">
        <f aca="false">SUM(C35:J35)</f>
        <v>536</v>
      </c>
      <c r="C35" s="230" t="n">
        <v>2</v>
      </c>
      <c r="D35" s="230" t="n">
        <v>0</v>
      </c>
      <c r="E35" s="230" t="n">
        <v>0</v>
      </c>
      <c r="F35" s="230" t="n">
        <v>19</v>
      </c>
      <c r="G35" s="230" t="n">
        <v>31</v>
      </c>
      <c r="H35" s="230" t="n">
        <v>80</v>
      </c>
      <c r="I35" s="232" t="n">
        <v>376</v>
      </c>
      <c r="J35" s="230" t="n">
        <v>28</v>
      </c>
    </row>
    <row r="36" customFormat="false" ht="12.75" hidden="false" customHeight="false" outlineLevel="0" collapsed="false">
      <c r="A36" s="230" t="s">
        <v>114</v>
      </c>
      <c r="B36" s="230" t="n">
        <f aca="false">SUM(C36:J36)</f>
        <v>83</v>
      </c>
      <c r="C36" s="230" t="n">
        <v>1</v>
      </c>
      <c r="D36" s="230" t="n">
        <v>1</v>
      </c>
      <c r="E36" s="230" t="n">
        <v>0</v>
      </c>
      <c r="F36" s="230" t="n">
        <v>4</v>
      </c>
      <c r="G36" s="230" t="n">
        <v>10</v>
      </c>
      <c r="H36" s="230" t="n">
        <v>21</v>
      </c>
      <c r="I36" s="232" t="n">
        <v>45</v>
      </c>
      <c r="J36" s="230" t="n">
        <v>1</v>
      </c>
    </row>
    <row r="37" customFormat="false" ht="12.75" hidden="false" customHeight="false" outlineLevel="0" collapsed="false">
      <c r="A37" s="230" t="s">
        <v>106</v>
      </c>
      <c r="B37" s="230" t="n">
        <f aca="false">SUM(C37:J37)</f>
        <v>580</v>
      </c>
      <c r="C37" s="230" t="n">
        <v>11</v>
      </c>
      <c r="D37" s="230" t="n">
        <v>3</v>
      </c>
      <c r="E37" s="230" t="n">
        <v>0</v>
      </c>
      <c r="F37" s="230" t="n">
        <v>60</v>
      </c>
      <c r="G37" s="230" t="n">
        <v>31</v>
      </c>
      <c r="H37" s="230" t="n">
        <v>190</v>
      </c>
      <c r="I37" s="232" t="n">
        <v>258</v>
      </c>
      <c r="J37" s="230" t="n">
        <v>27</v>
      </c>
    </row>
    <row r="38" customFormat="false" ht="12.75" hidden="false" customHeight="false" outlineLevel="0" collapsed="false">
      <c r="A38" s="230" t="s">
        <v>167</v>
      </c>
      <c r="B38" s="230" t="n">
        <f aca="false">SUM(C38:J38)</f>
        <v>312</v>
      </c>
      <c r="C38" s="230" t="n">
        <v>5</v>
      </c>
      <c r="D38" s="230" t="n">
        <v>1</v>
      </c>
      <c r="E38" s="230" t="n">
        <v>0</v>
      </c>
      <c r="F38" s="230" t="n">
        <v>9</v>
      </c>
      <c r="G38" s="230" t="n">
        <v>25</v>
      </c>
      <c r="H38" s="230" t="n">
        <v>67</v>
      </c>
      <c r="I38" s="232" t="n">
        <v>191</v>
      </c>
      <c r="J38" s="230" t="n">
        <v>14</v>
      </c>
    </row>
    <row r="39" customFormat="false" ht="12.75" hidden="false" customHeight="false" outlineLevel="0" collapsed="false">
      <c r="A39" s="230" t="s">
        <v>173</v>
      </c>
      <c r="B39" s="230" t="n">
        <f aca="false">SUM(C39:J39)</f>
        <v>76</v>
      </c>
      <c r="C39" s="230" t="n">
        <v>0</v>
      </c>
      <c r="D39" s="230" t="n">
        <v>1</v>
      </c>
      <c r="E39" s="230" t="n">
        <v>0</v>
      </c>
      <c r="F39" s="230" t="n">
        <v>0</v>
      </c>
      <c r="G39" s="230" t="n">
        <v>18</v>
      </c>
      <c r="H39" s="230" t="n">
        <v>24</v>
      </c>
      <c r="I39" s="232" t="n">
        <v>26</v>
      </c>
      <c r="J39" s="230" t="n">
        <v>7</v>
      </c>
    </row>
    <row r="40" customFormat="false" ht="12.75" hidden="false" customHeight="false" outlineLevel="0" collapsed="false">
      <c r="A40" s="230" t="s">
        <v>95</v>
      </c>
      <c r="B40" s="230" t="n">
        <f aca="false">SUM(C40:J40)</f>
        <v>321</v>
      </c>
      <c r="C40" s="230" t="n">
        <v>7</v>
      </c>
      <c r="D40" s="230" t="n">
        <v>2</v>
      </c>
      <c r="E40" s="230" t="n">
        <v>0</v>
      </c>
      <c r="F40" s="230" t="n">
        <v>23</v>
      </c>
      <c r="G40" s="230" t="n">
        <v>53</v>
      </c>
      <c r="H40" s="230" t="n">
        <v>80</v>
      </c>
      <c r="I40" s="232" t="n">
        <v>146</v>
      </c>
      <c r="J40" s="230" t="n">
        <v>10</v>
      </c>
    </row>
    <row r="41" customFormat="false" ht="12.75" hidden="false" customHeight="false" outlineLevel="0" collapsed="false">
      <c r="A41" s="230" t="s">
        <v>127</v>
      </c>
      <c r="B41" s="230" t="n">
        <f aca="false">SUM(C41:J41)</f>
        <v>285</v>
      </c>
      <c r="C41" s="230" t="n">
        <v>3</v>
      </c>
      <c r="D41" s="230" t="n">
        <v>1</v>
      </c>
      <c r="E41" s="230" t="n">
        <v>0</v>
      </c>
      <c r="F41" s="230" t="n">
        <v>27</v>
      </c>
      <c r="G41" s="230" t="n">
        <v>34</v>
      </c>
      <c r="H41" s="230" t="n">
        <v>79</v>
      </c>
      <c r="I41" s="232" t="n">
        <v>123</v>
      </c>
      <c r="J41" s="230" t="n">
        <v>18</v>
      </c>
    </row>
    <row r="42" customFormat="false" ht="12.75" hidden="false" customHeight="false" outlineLevel="0" collapsed="false">
      <c r="A42" s="230" t="s">
        <v>115</v>
      </c>
      <c r="B42" s="230" t="n">
        <f aca="false">SUM(C42:J42)</f>
        <v>86</v>
      </c>
      <c r="C42" s="230" t="n">
        <v>0</v>
      </c>
      <c r="D42" s="230" t="n">
        <v>0</v>
      </c>
      <c r="E42" s="230" t="n">
        <v>0</v>
      </c>
      <c r="F42" s="230" t="n">
        <v>3</v>
      </c>
      <c r="G42" s="230" t="n">
        <v>14</v>
      </c>
      <c r="H42" s="230" t="n">
        <v>32</v>
      </c>
      <c r="I42" s="232" t="n">
        <v>30</v>
      </c>
      <c r="J42" s="230" t="n">
        <v>7</v>
      </c>
    </row>
    <row r="43" customFormat="false" ht="12.75" hidden="false" customHeight="false" outlineLevel="0" collapsed="false">
      <c r="A43" s="230" t="s">
        <v>174</v>
      </c>
      <c r="B43" s="230" t="n">
        <f aca="false">SUM(C43:J43)</f>
        <v>192</v>
      </c>
      <c r="C43" s="230" t="n">
        <v>1</v>
      </c>
      <c r="D43" s="230" t="n">
        <v>0</v>
      </c>
      <c r="E43" s="230" t="n">
        <v>0</v>
      </c>
      <c r="F43" s="230" t="n">
        <v>4</v>
      </c>
      <c r="G43" s="230" t="n">
        <f aca="false">17+4</f>
        <v>21</v>
      </c>
      <c r="H43" s="230" t="n">
        <f aca="false">43+15</f>
        <v>58</v>
      </c>
      <c r="I43" s="232" t="n">
        <f aca="false">88+11</f>
        <v>99</v>
      </c>
      <c r="J43" s="230" t="n">
        <v>9</v>
      </c>
    </row>
    <row r="44" customFormat="false" ht="12.75" hidden="false" customHeight="false" outlineLevel="0" collapsed="false">
      <c r="A44" s="230" t="s">
        <v>116</v>
      </c>
      <c r="B44" s="230" t="n">
        <f aca="false">SUM(C44:J44)</f>
        <v>62</v>
      </c>
      <c r="C44" s="230" t="n">
        <v>0</v>
      </c>
      <c r="D44" s="230" t="n">
        <v>0</v>
      </c>
      <c r="E44" s="230" t="n">
        <v>0</v>
      </c>
      <c r="F44" s="230" t="n">
        <v>2</v>
      </c>
      <c r="G44" s="230" t="n">
        <v>2</v>
      </c>
      <c r="H44" s="230" t="n">
        <v>27</v>
      </c>
      <c r="I44" s="232" t="n">
        <v>30</v>
      </c>
      <c r="J44" s="230" t="n">
        <v>1</v>
      </c>
    </row>
    <row r="45" customFormat="false" ht="12.75" hidden="false" customHeight="false" outlineLevel="0" collapsed="false">
      <c r="A45" s="230" t="s">
        <v>107</v>
      </c>
      <c r="B45" s="230" t="n">
        <f aca="false">SUM(C45:J45)</f>
        <v>222</v>
      </c>
      <c r="C45" s="230" t="n">
        <v>6</v>
      </c>
      <c r="D45" s="230" t="n">
        <v>1</v>
      </c>
      <c r="E45" s="230" t="n">
        <v>0</v>
      </c>
      <c r="F45" s="230" t="n">
        <v>26</v>
      </c>
      <c r="G45" s="230" t="n">
        <v>21</v>
      </c>
      <c r="H45" s="230" t="n">
        <v>71</v>
      </c>
      <c r="I45" s="232" t="n">
        <v>84</v>
      </c>
      <c r="J45" s="230" t="n">
        <v>13</v>
      </c>
    </row>
    <row r="46" customFormat="false" ht="12.75" hidden="false" customHeight="false" outlineLevel="0" collapsed="false">
      <c r="A46" s="230" t="s">
        <v>156</v>
      </c>
      <c r="B46" s="230" t="n">
        <f aca="false">SUM(C46:J46)</f>
        <v>228</v>
      </c>
      <c r="C46" s="230" t="n">
        <v>15</v>
      </c>
      <c r="D46" s="230" t="n">
        <v>2</v>
      </c>
      <c r="E46" s="230" t="n">
        <v>0</v>
      </c>
      <c r="F46" s="230" t="n">
        <v>14</v>
      </c>
      <c r="G46" s="230" t="n">
        <v>45</v>
      </c>
      <c r="H46" s="230" t="n">
        <v>29</v>
      </c>
      <c r="I46" s="232" t="n">
        <v>111</v>
      </c>
      <c r="J46" s="230" t="n">
        <v>12</v>
      </c>
    </row>
    <row r="47" customFormat="false" ht="12.75" hidden="false" customHeight="false" outlineLevel="0" collapsed="false">
      <c r="A47" s="230" t="s">
        <v>183</v>
      </c>
      <c r="B47" s="230" t="n">
        <f aca="false">SUM(C47:J47)</f>
        <v>252</v>
      </c>
      <c r="C47" s="230" t="n">
        <v>3</v>
      </c>
      <c r="D47" s="230" t="n">
        <v>0</v>
      </c>
      <c r="E47" s="230" t="n">
        <v>0</v>
      </c>
      <c r="F47" s="230" t="n">
        <v>14</v>
      </c>
      <c r="G47" s="230" t="n">
        <v>21</v>
      </c>
      <c r="H47" s="230" t="n">
        <v>61</v>
      </c>
      <c r="I47" s="232" t="n">
        <v>141</v>
      </c>
      <c r="J47" s="230" t="n">
        <v>12</v>
      </c>
    </row>
    <row r="48" customFormat="false" ht="12.75" hidden="false" customHeight="false" outlineLevel="0" collapsed="false">
      <c r="A48" s="230" t="s">
        <v>89</v>
      </c>
      <c r="B48" s="230" t="n">
        <f aca="false">SUM(C48:J48)</f>
        <v>424</v>
      </c>
      <c r="C48" s="230" t="n">
        <v>5</v>
      </c>
      <c r="D48" s="230" t="n">
        <v>0</v>
      </c>
      <c r="E48" s="230" t="n">
        <v>0</v>
      </c>
      <c r="F48" s="230" t="n">
        <v>36</v>
      </c>
      <c r="G48" s="230" t="n">
        <v>42</v>
      </c>
      <c r="H48" s="230" t="n">
        <v>85</v>
      </c>
      <c r="I48" s="232" t="n">
        <v>191</v>
      </c>
      <c r="J48" s="230" t="n">
        <v>65</v>
      </c>
    </row>
    <row r="49" customFormat="false" ht="12.75" hidden="false" customHeight="false" outlineLevel="0" collapsed="false">
      <c r="A49" s="230" t="s">
        <v>117</v>
      </c>
      <c r="B49" s="230" t="n">
        <f aca="false">SUM(C49:J49)</f>
        <v>36</v>
      </c>
      <c r="C49" s="230" t="n">
        <v>0</v>
      </c>
      <c r="D49" s="230" t="n">
        <v>0</v>
      </c>
      <c r="E49" s="230" t="n">
        <v>0</v>
      </c>
      <c r="F49" s="230" t="n">
        <v>0</v>
      </c>
      <c r="G49" s="230" t="n">
        <v>5</v>
      </c>
      <c r="H49" s="230" t="n">
        <v>9</v>
      </c>
      <c r="I49" s="232" t="n">
        <v>22</v>
      </c>
      <c r="J49" s="230" t="n">
        <v>0</v>
      </c>
    </row>
    <row r="50" customFormat="false" ht="12.75" hidden="false" customHeight="false" outlineLevel="0" collapsed="false">
      <c r="A50" s="230" t="s">
        <v>108</v>
      </c>
      <c r="B50" s="230" t="n">
        <f aca="false">SUM(C50:J50)</f>
        <v>64</v>
      </c>
      <c r="C50" s="230" t="n">
        <v>0</v>
      </c>
      <c r="D50" s="230" t="n">
        <v>1</v>
      </c>
      <c r="E50" s="230" t="n">
        <v>0</v>
      </c>
      <c r="F50" s="230" t="n">
        <v>3</v>
      </c>
      <c r="G50" s="230" t="n">
        <v>7</v>
      </c>
      <c r="H50" s="230" t="n">
        <v>11</v>
      </c>
      <c r="I50" s="232" t="n">
        <v>39</v>
      </c>
      <c r="J50" s="230" t="n">
        <v>3</v>
      </c>
    </row>
    <row r="51" customFormat="false" ht="13.5" hidden="false" customHeight="false" outlineLevel="0" collapsed="false">
      <c r="A51" s="233" t="s">
        <v>239</v>
      </c>
      <c r="B51" s="233" t="n">
        <f aca="false">SUM(C51:J51)</f>
        <v>1078</v>
      </c>
      <c r="C51" s="233" t="n">
        <f aca="false">8+3</f>
        <v>11</v>
      </c>
      <c r="D51" s="233" t="n">
        <v>3</v>
      </c>
      <c r="E51" s="233" t="n">
        <v>0</v>
      </c>
      <c r="F51" s="233" t="n">
        <f aca="false">45+11</f>
        <v>56</v>
      </c>
      <c r="G51" s="233" t="n">
        <f aca="false">92+43</f>
        <v>135</v>
      </c>
      <c r="H51" s="233" t="n">
        <f aca="false">139+71</f>
        <v>210</v>
      </c>
      <c r="I51" s="234" t="n">
        <f aca="false">391+247</f>
        <v>638</v>
      </c>
      <c r="J51" s="233" t="n">
        <f aca="false">21+4</f>
        <v>25</v>
      </c>
    </row>
    <row r="52" customFormat="false" ht="13.5" hidden="false" customHeight="false" outlineLevel="0" collapsed="false">
      <c r="A52" s="235" t="s">
        <v>226</v>
      </c>
      <c r="B52" s="236" t="s">
        <v>227</v>
      </c>
      <c r="C52" s="226" t="s">
        <v>228</v>
      </c>
      <c r="D52" s="226" t="s">
        <v>229</v>
      </c>
      <c r="E52" s="227" t="s">
        <v>230</v>
      </c>
      <c r="F52" s="226" t="s">
        <v>60</v>
      </c>
      <c r="G52" s="226" t="s">
        <v>231</v>
      </c>
      <c r="H52" s="226" t="s">
        <v>232</v>
      </c>
      <c r="I52" s="228" t="s">
        <v>233</v>
      </c>
      <c r="J52" s="226" t="s">
        <v>234</v>
      </c>
    </row>
    <row r="53" customFormat="false" ht="12.75" hidden="false" customHeight="false" outlineLevel="0" collapsed="false">
      <c r="A53" s="230" t="s">
        <v>168</v>
      </c>
      <c r="B53" s="204" t="n">
        <f aca="false">SUM(C53:J53)</f>
        <v>130</v>
      </c>
      <c r="C53" s="230" t="n">
        <v>1</v>
      </c>
      <c r="D53" s="230" t="n">
        <v>0</v>
      </c>
      <c r="E53" s="230" t="n">
        <v>0</v>
      </c>
      <c r="F53" s="230" t="n">
        <v>2</v>
      </c>
      <c r="G53" s="230" t="n">
        <v>9</v>
      </c>
      <c r="H53" s="230" t="n">
        <v>47</v>
      </c>
      <c r="I53" s="237" t="n">
        <v>68</v>
      </c>
      <c r="J53" s="230" t="n">
        <v>3</v>
      </c>
    </row>
    <row r="54" customFormat="false" ht="12.75" hidden="false" customHeight="false" outlineLevel="0" collapsed="false">
      <c r="A54" s="230" t="s">
        <v>90</v>
      </c>
      <c r="B54" s="230" t="n">
        <f aca="false">SUM(C54:J54)</f>
        <v>263</v>
      </c>
      <c r="C54" s="230" t="n">
        <v>4</v>
      </c>
      <c r="D54" s="230" t="n">
        <v>0</v>
      </c>
      <c r="E54" s="230" t="n">
        <v>0</v>
      </c>
      <c r="F54" s="230" t="n">
        <v>25</v>
      </c>
      <c r="G54" s="230" t="n">
        <v>25</v>
      </c>
      <c r="H54" s="230" t="n">
        <v>70</v>
      </c>
      <c r="I54" s="232" t="n">
        <v>111</v>
      </c>
      <c r="J54" s="230" t="n">
        <v>28</v>
      </c>
    </row>
    <row r="55" customFormat="false" ht="12.75" hidden="false" customHeight="false" outlineLevel="0" collapsed="false">
      <c r="A55" s="230" t="s">
        <v>109</v>
      </c>
      <c r="B55" s="230" t="n">
        <f aca="false">SUM(C55:J55)</f>
        <v>126</v>
      </c>
      <c r="C55" s="230" t="n">
        <v>4</v>
      </c>
      <c r="D55" s="230" t="n">
        <v>3</v>
      </c>
      <c r="E55" s="230" t="n">
        <v>0</v>
      </c>
      <c r="F55" s="230" t="n">
        <v>9</v>
      </c>
      <c r="G55" s="230" t="n">
        <v>20</v>
      </c>
      <c r="H55" s="230" t="n">
        <v>28</v>
      </c>
      <c r="I55" s="232" t="n">
        <v>58</v>
      </c>
      <c r="J55" s="230" t="n">
        <v>4</v>
      </c>
    </row>
    <row r="56" customFormat="false" ht="12.75" hidden="false" customHeight="false" outlineLevel="0" collapsed="false">
      <c r="A56" s="230" t="s">
        <v>140</v>
      </c>
      <c r="B56" s="230" t="n">
        <f aca="false">SUM(C56:J56)</f>
        <v>242</v>
      </c>
      <c r="C56" s="230" t="n">
        <v>1</v>
      </c>
      <c r="D56" s="230" t="n">
        <v>1</v>
      </c>
      <c r="E56" s="230" t="n">
        <v>0</v>
      </c>
      <c r="F56" s="230" t="n">
        <v>12</v>
      </c>
      <c r="G56" s="230" t="n">
        <v>9</v>
      </c>
      <c r="H56" s="230" t="n">
        <f aca="false">41+18</f>
        <v>59</v>
      </c>
      <c r="I56" s="232" t="n">
        <f aca="false">78+51</f>
        <v>129</v>
      </c>
      <c r="J56" s="230" t="n">
        <f aca="false">16+15</f>
        <v>31</v>
      </c>
    </row>
    <row r="57" customFormat="false" ht="12.75" hidden="false" customHeight="false" outlineLevel="0" collapsed="false">
      <c r="A57" s="230" t="s">
        <v>193</v>
      </c>
      <c r="B57" s="230" t="n">
        <f aca="false">SUM(C57:J57)</f>
        <v>146</v>
      </c>
      <c r="C57" s="230" t="n">
        <v>1</v>
      </c>
      <c r="D57" s="230" t="n">
        <v>1</v>
      </c>
      <c r="E57" s="230" t="n">
        <v>0</v>
      </c>
      <c r="F57" s="230" t="n">
        <v>8</v>
      </c>
      <c r="G57" s="230" t="n">
        <v>9</v>
      </c>
      <c r="H57" s="230" t="n">
        <v>23</v>
      </c>
      <c r="I57" s="232" t="n">
        <v>98</v>
      </c>
      <c r="J57" s="230" t="n">
        <v>6</v>
      </c>
    </row>
    <row r="58" customFormat="false" ht="12.75" hidden="false" customHeight="false" outlineLevel="0" collapsed="false">
      <c r="A58" s="230" t="s">
        <v>240</v>
      </c>
      <c r="B58" s="230" t="n">
        <f aca="false">SUM(C58:J58)</f>
        <v>108</v>
      </c>
      <c r="C58" s="230" t="n">
        <v>2</v>
      </c>
      <c r="D58" s="230" t="n">
        <v>0</v>
      </c>
      <c r="E58" s="230" t="n">
        <v>0</v>
      </c>
      <c r="F58" s="230" t="n">
        <v>4</v>
      </c>
      <c r="G58" s="230" t="n">
        <v>13</v>
      </c>
      <c r="H58" s="230" t="n">
        <v>19</v>
      </c>
      <c r="I58" s="232" t="n">
        <v>70</v>
      </c>
      <c r="J58" s="230" t="n">
        <v>0</v>
      </c>
    </row>
    <row r="59" customFormat="false" ht="12.75" hidden="false" customHeight="false" outlineLevel="0" collapsed="false">
      <c r="A59" s="230" t="s">
        <v>96</v>
      </c>
      <c r="B59" s="230" t="n">
        <f aca="false">SUM(C59:J59)</f>
        <v>154</v>
      </c>
      <c r="C59" s="230" t="n">
        <v>3</v>
      </c>
      <c r="D59" s="230" t="n">
        <v>1</v>
      </c>
      <c r="E59" s="230" t="n">
        <v>0</v>
      </c>
      <c r="F59" s="230" t="n">
        <v>6</v>
      </c>
      <c r="G59" s="230" t="n">
        <v>32</v>
      </c>
      <c r="H59" s="230" t="n">
        <v>42</v>
      </c>
      <c r="I59" s="232" t="n">
        <v>63</v>
      </c>
      <c r="J59" s="230" t="n">
        <v>7</v>
      </c>
    </row>
    <row r="60" customFormat="false" ht="12.75" hidden="false" customHeight="false" outlineLevel="0" collapsed="false">
      <c r="A60" s="230" t="s">
        <v>100</v>
      </c>
      <c r="B60" s="230" t="n">
        <f aca="false">SUM(C60:J60)</f>
        <v>1765</v>
      </c>
      <c r="C60" s="230" t="n">
        <f aca="false">17+3+1+11+1</f>
        <v>33</v>
      </c>
      <c r="D60" s="230" t="n">
        <f aca="false">6</f>
        <v>6</v>
      </c>
      <c r="E60" s="230" t="n">
        <v>0</v>
      </c>
      <c r="F60" s="230" t="n">
        <f aca="false">29+24+10+31+9</f>
        <v>103</v>
      </c>
      <c r="G60" s="230" t="n">
        <f aca="false">50+48+29+55+29</f>
        <v>211</v>
      </c>
      <c r="H60" s="230" t="n">
        <f aca="false">88+73+13+89+39</f>
        <v>302</v>
      </c>
      <c r="I60" s="232" t="n">
        <f aca="false">312+277+79+289+88</f>
        <v>1045</v>
      </c>
      <c r="J60" s="230" t="n">
        <f aca="false">10+24+7+21+3</f>
        <v>65</v>
      </c>
    </row>
    <row r="61" customFormat="false" ht="12.75" hidden="false" customHeight="false" outlineLevel="0" collapsed="false">
      <c r="A61" s="230" t="s">
        <v>91</v>
      </c>
      <c r="B61" s="230" t="n">
        <f aca="false">SUM(C61:J61)</f>
        <v>145</v>
      </c>
      <c r="C61" s="230" t="n">
        <v>0</v>
      </c>
      <c r="D61" s="230" t="n">
        <v>0</v>
      </c>
      <c r="E61" s="230" t="n">
        <v>0</v>
      </c>
      <c r="F61" s="230" t="n">
        <v>10</v>
      </c>
      <c r="G61" s="230" t="n">
        <v>11</v>
      </c>
      <c r="H61" s="230" t="n">
        <v>41</v>
      </c>
      <c r="I61" s="232" t="n">
        <v>77</v>
      </c>
      <c r="J61" s="230" t="n">
        <v>6</v>
      </c>
      <c r="K61" s="221"/>
    </row>
    <row r="62" customFormat="false" ht="12.75" hidden="false" customHeight="false" outlineLevel="0" collapsed="false">
      <c r="A62" s="230" t="s">
        <v>169</v>
      </c>
      <c r="B62" s="230" t="n">
        <f aca="false">SUM(C62:J62)</f>
        <v>122</v>
      </c>
      <c r="C62" s="230" t="n">
        <v>1</v>
      </c>
      <c r="D62" s="230" t="n">
        <v>0</v>
      </c>
      <c r="E62" s="230" t="n">
        <v>0</v>
      </c>
      <c r="F62" s="230" t="n">
        <v>0</v>
      </c>
      <c r="G62" s="230" t="n">
        <v>8</v>
      </c>
      <c r="H62" s="230" t="n">
        <v>38</v>
      </c>
      <c r="I62" s="232" t="n">
        <v>73</v>
      </c>
      <c r="J62" s="230" t="n">
        <v>2</v>
      </c>
    </row>
    <row r="63" customFormat="false" ht="12.75" hidden="false" customHeight="false" outlineLevel="0" collapsed="false">
      <c r="A63" s="230" t="s">
        <v>184</v>
      </c>
      <c r="B63" s="230" t="n">
        <f aca="false">SUM(C63:J63)</f>
        <v>300</v>
      </c>
      <c r="C63" s="230" t="n">
        <v>9</v>
      </c>
      <c r="D63" s="230" t="n">
        <v>2</v>
      </c>
      <c r="E63" s="230" t="n">
        <v>0</v>
      </c>
      <c r="F63" s="230" t="n">
        <v>22</v>
      </c>
      <c r="G63" s="230" t="n">
        <v>23</v>
      </c>
      <c r="H63" s="230" t="n">
        <v>75</v>
      </c>
      <c r="I63" s="232" t="n">
        <v>150</v>
      </c>
      <c r="J63" s="230" t="n">
        <v>19</v>
      </c>
    </row>
    <row r="64" customFormat="false" ht="12.75" hidden="false" customHeight="false" outlineLevel="0" collapsed="false">
      <c r="A64" s="230" t="s">
        <v>120</v>
      </c>
      <c r="B64" s="230" t="n">
        <f aca="false">SUM(C64:J64)</f>
        <v>109</v>
      </c>
      <c r="C64" s="230" t="n">
        <v>0</v>
      </c>
      <c r="D64" s="230" t="n">
        <v>2</v>
      </c>
      <c r="E64" s="230" t="n">
        <v>0</v>
      </c>
      <c r="F64" s="230" t="n">
        <v>4</v>
      </c>
      <c r="G64" s="230" t="n">
        <v>20</v>
      </c>
      <c r="H64" s="230" t="n">
        <v>40</v>
      </c>
      <c r="I64" s="232" t="n">
        <v>38</v>
      </c>
      <c r="J64" s="230" t="n">
        <v>5</v>
      </c>
    </row>
    <row r="65" customFormat="false" ht="12.75" hidden="false" customHeight="false" outlineLevel="0" collapsed="false">
      <c r="A65" s="230" t="s">
        <v>162</v>
      </c>
      <c r="B65" s="230" t="n">
        <f aca="false">SUM(C65:J65)</f>
        <v>260</v>
      </c>
      <c r="C65" s="230" t="n">
        <v>5</v>
      </c>
      <c r="D65" s="230" t="n">
        <v>0</v>
      </c>
      <c r="E65" s="221" t="n">
        <v>0</v>
      </c>
      <c r="F65" s="230" t="n">
        <v>8</v>
      </c>
      <c r="G65" s="230" t="n">
        <v>35</v>
      </c>
      <c r="H65" s="230" t="n">
        <v>42</v>
      </c>
      <c r="I65" s="232" t="n">
        <v>161</v>
      </c>
      <c r="J65" s="230" t="n">
        <v>9</v>
      </c>
    </row>
    <row r="66" customFormat="false" ht="12.75" hidden="false" customHeight="false" outlineLevel="0" collapsed="false">
      <c r="A66" s="230" t="s">
        <v>121</v>
      </c>
      <c r="B66" s="230" t="n">
        <f aca="false">SUM(C66:J66)</f>
        <v>103</v>
      </c>
      <c r="C66" s="230" t="n">
        <v>3</v>
      </c>
      <c r="D66" s="230" t="n">
        <v>1</v>
      </c>
      <c r="E66" s="230" t="n">
        <v>0</v>
      </c>
      <c r="F66" s="230" t="n">
        <v>11</v>
      </c>
      <c r="G66" s="230" t="n">
        <v>14</v>
      </c>
      <c r="H66" s="230" t="n">
        <v>26</v>
      </c>
      <c r="I66" s="232" t="n">
        <v>43</v>
      </c>
      <c r="J66" s="230" t="n">
        <v>5</v>
      </c>
    </row>
    <row r="67" customFormat="false" ht="12.75" hidden="false" customHeight="false" outlineLevel="0" collapsed="false">
      <c r="A67" s="230" t="s">
        <v>69</v>
      </c>
      <c r="B67" s="230" t="n">
        <f aca="false">SUM(C67:J67)</f>
        <v>6773</v>
      </c>
      <c r="C67" s="230" t="n">
        <v>126</v>
      </c>
      <c r="D67" s="230" t="n">
        <v>13</v>
      </c>
      <c r="E67" s="230" t="n">
        <v>0</v>
      </c>
      <c r="F67" s="230" t="n">
        <v>676</v>
      </c>
      <c r="G67" s="230" t="n">
        <v>435</v>
      </c>
      <c r="H67" s="230" t="n">
        <v>892</v>
      </c>
      <c r="I67" s="232" t="n">
        <v>3858</v>
      </c>
      <c r="J67" s="238" t="n">
        <v>773</v>
      </c>
    </row>
    <row r="68" customFormat="false" ht="12.75" hidden="false" customHeight="false" outlineLevel="0" collapsed="false">
      <c r="A68" s="230" t="s">
        <v>128</v>
      </c>
      <c r="B68" s="230" t="n">
        <f aca="false">SUM(C68:J68)</f>
        <v>255</v>
      </c>
      <c r="C68" s="230" t="n">
        <v>8</v>
      </c>
      <c r="D68" s="230" t="n">
        <v>0</v>
      </c>
      <c r="E68" s="230" t="n">
        <v>0</v>
      </c>
      <c r="F68" s="230" t="n">
        <v>25</v>
      </c>
      <c r="G68" s="230" t="n">
        <v>32</v>
      </c>
      <c r="H68" s="230" t="n">
        <v>76</v>
      </c>
      <c r="I68" s="232" t="n">
        <v>99</v>
      </c>
      <c r="J68" s="238" t="n">
        <v>15</v>
      </c>
    </row>
    <row r="69" customFormat="false" ht="12.75" hidden="false" customHeight="false" outlineLevel="0" collapsed="false">
      <c r="A69" s="230" t="s">
        <v>241</v>
      </c>
      <c r="B69" s="230" t="n">
        <f aca="false">SUM(C69:J69)</f>
        <v>243</v>
      </c>
      <c r="C69" s="230" t="n">
        <v>1</v>
      </c>
      <c r="D69" s="230" t="n">
        <v>1</v>
      </c>
      <c r="E69" s="230" t="n">
        <v>0</v>
      </c>
      <c r="F69" s="230" t="n">
        <v>6</v>
      </c>
      <c r="G69" s="230" t="n">
        <v>9</v>
      </c>
      <c r="H69" s="230" t="n">
        <v>94</v>
      </c>
      <c r="I69" s="232" t="n">
        <v>123</v>
      </c>
      <c r="J69" s="230" t="n">
        <v>9</v>
      </c>
    </row>
    <row r="70" customFormat="false" ht="12.75" hidden="false" customHeight="false" outlineLevel="0" collapsed="false">
      <c r="A70" s="230" t="s">
        <v>242</v>
      </c>
      <c r="B70" s="230" t="n">
        <f aca="false">SUM(C70:J70)</f>
        <v>229</v>
      </c>
      <c r="C70" s="230" t="n">
        <v>13</v>
      </c>
      <c r="D70" s="230" t="n">
        <v>3</v>
      </c>
      <c r="E70" s="230" t="n">
        <v>0</v>
      </c>
      <c r="F70" s="230" t="n">
        <v>11</v>
      </c>
      <c r="G70" s="230" t="n">
        <v>17</v>
      </c>
      <c r="H70" s="230" t="n">
        <v>25</v>
      </c>
      <c r="I70" s="232" t="n">
        <v>151</v>
      </c>
      <c r="J70" s="230" t="n">
        <v>9</v>
      </c>
    </row>
    <row r="71" customFormat="false" ht="12.75" hidden="false" customHeight="false" outlineLevel="0" collapsed="false">
      <c r="A71" s="230" t="s">
        <v>142</v>
      </c>
      <c r="B71" s="230" t="n">
        <f aca="false">SUM(C71:J71)</f>
        <v>303</v>
      </c>
      <c r="C71" s="230" t="n">
        <v>7</v>
      </c>
      <c r="D71" s="230" t="n">
        <v>2</v>
      </c>
      <c r="E71" s="230" t="n">
        <v>0</v>
      </c>
      <c r="F71" s="230" t="n">
        <v>25</v>
      </c>
      <c r="G71" s="230" t="n">
        <v>16</v>
      </c>
      <c r="H71" s="230" t="n">
        <v>66</v>
      </c>
      <c r="I71" s="232" t="n">
        <v>134</v>
      </c>
      <c r="J71" s="230" t="n">
        <v>53</v>
      </c>
    </row>
    <row r="72" customFormat="false" ht="12.75" hidden="false" customHeight="false" outlineLevel="0" collapsed="false">
      <c r="A72" s="230" t="s">
        <v>143</v>
      </c>
      <c r="B72" s="230" t="n">
        <f aca="false">SUM(C72:J72)</f>
        <v>995</v>
      </c>
      <c r="C72" s="230" t="n">
        <v>10</v>
      </c>
      <c r="D72" s="230" t="n">
        <v>5</v>
      </c>
      <c r="E72" s="230" t="n">
        <v>0</v>
      </c>
      <c r="F72" s="230" t="n">
        <f aca="false">25+79</f>
        <v>104</v>
      </c>
      <c r="G72" s="230" t="n">
        <f aca="false">25+24</f>
        <v>49</v>
      </c>
      <c r="H72" s="230" t="n">
        <f aca="false">45+79</f>
        <v>124</v>
      </c>
      <c r="I72" s="232" t="n">
        <f aca="false">234+329</f>
        <v>563</v>
      </c>
      <c r="J72" s="230" t="n">
        <f aca="false">65+75</f>
        <v>140</v>
      </c>
    </row>
    <row r="73" customFormat="false" ht="12.75" hidden="false" customHeight="false" outlineLevel="0" collapsed="false">
      <c r="A73" s="230" t="s">
        <v>243</v>
      </c>
      <c r="B73" s="230" t="n">
        <f aca="false">SUM(C73:J73)</f>
        <v>504</v>
      </c>
      <c r="C73" s="230" t="n">
        <f aca="false">10+5</f>
        <v>15</v>
      </c>
      <c r="D73" s="230" t="n">
        <v>3</v>
      </c>
      <c r="E73" s="230" t="n">
        <v>0</v>
      </c>
      <c r="F73" s="230" t="n">
        <f aca="false">15+14</f>
        <v>29</v>
      </c>
      <c r="G73" s="230" t="n">
        <f aca="false">17+22</f>
        <v>39</v>
      </c>
      <c r="H73" s="230" t="n">
        <f aca="false">47+58</f>
        <v>105</v>
      </c>
      <c r="I73" s="232" t="n">
        <f aca="false">142+136</f>
        <v>278</v>
      </c>
      <c r="J73" s="230" t="n">
        <f aca="false">26+9</f>
        <v>35</v>
      </c>
    </row>
    <row r="74" customFormat="false" ht="12.75" hidden="false" customHeight="false" outlineLevel="0" collapsed="false">
      <c r="A74" s="230" t="s">
        <v>176</v>
      </c>
      <c r="B74" s="230" t="n">
        <f aca="false">SUM(C74:J74)</f>
        <v>207</v>
      </c>
      <c r="C74" s="230" t="n">
        <v>2</v>
      </c>
      <c r="D74" s="230" t="n">
        <v>2</v>
      </c>
      <c r="E74" s="230" t="n">
        <v>0</v>
      </c>
      <c r="F74" s="230" t="n">
        <v>1</v>
      </c>
      <c r="G74" s="230" t="n">
        <f aca="false">26+12+1</f>
        <v>39</v>
      </c>
      <c r="H74" s="230" t="n">
        <f aca="false">25+7+10</f>
        <v>42</v>
      </c>
      <c r="I74" s="232" t="n">
        <f aca="false">82+23+13</f>
        <v>118</v>
      </c>
      <c r="J74" s="230" t="n">
        <v>3</v>
      </c>
    </row>
    <row r="75" customFormat="false" ht="12.75" hidden="false" customHeight="false" outlineLevel="0" collapsed="false">
      <c r="A75" s="230" t="s">
        <v>145</v>
      </c>
      <c r="B75" s="230" t="n">
        <f aca="false">SUM(C75:J75)</f>
        <v>550</v>
      </c>
      <c r="C75" s="230" t="n">
        <v>5</v>
      </c>
      <c r="D75" s="230" t="n">
        <v>2</v>
      </c>
      <c r="E75" s="230" t="n">
        <v>0</v>
      </c>
      <c r="F75" s="230" t="n">
        <v>36</v>
      </c>
      <c r="G75" s="230" t="n">
        <v>31</v>
      </c>
      <c r="H75" s="230" t="n">
        <v>119</v>
      </c>
      <c r="I75" s="232" t="n">
        <v>304</v>
      </c>
      <c r="J75" s="230" t="n">
        <v>53</v>
      </c>
    </row>
    <row r="76" customFormat="false" ht="12.75" hidden="false" customHeight="false" outlineLevel="0" collapsed="false">
      <c r="A76" s="230" t="s">
        <v>146</v>
      </c>
      <c r="B76" s="230" t="n">
        <f aca="false">SUM(C76:J76)</f>
        <v>809</v>
      </c>
      <c r="C76" s="230" t="n">
        <v>5</v>
      </c>
      <c r="D76" s="230" t="n">
        <v>3</v>
      </c>
      <c r="E76" s="230" t="n">
        <v>0</v>
      </c>
      <c r="F76" s="230" t="n">
        <v>69</v>
      </c>
      <c r="G76" s="230" t="n">
        <v>34</v>
      </c>
      <c r="H76" s="230" t="n">
        <v>215</v>
      </c>
      <c r="I76" s="232" t="n">
        <v>415</v>
      </c>
      <c r="J76" s="230" t="n">
        <v>68</v>
      </c>
    </row>
    <row r="77" customFormat="false" ht="12.75" hidden="false" customHeight="false" outlineLevel="0" collapsed="false">
      <c r="A77" s="230" t="s">
        <v>185</v>
      </c>
      <c r="B77" s="230" t="n">
        <f aca="false">SUM(C77:J77)</f>
        <v>134</v>
      </c>
      <c r="C77" s="230" t="n">
        <v>1</v>
      </c>
      <c r="D77" s="230" t="n">
        <v>1</v>
      </c>
      <c r="E77" s="230" t="n">
        <v>0</v>
      </c>
      <c r="F77" s="230" t="n">
        <v>2</v>
      </c>
      <c r="G77" s="230" t="n">
        <v>25</v>
      </c>
      <c r="H77" s="230" t="n">
        <v>41</v>
      </c>
      <c r="I77" s="232" t="n">
        <v>63</v>
      </c>
      <c r="J77" s="230" t="n">
        <v>1</v>
      </c>
    </row>
    <row r="78" customFormat="false" ht="12.75" hidden="false" customHeight="false" outlineLevel="0" collapsed="false">
      <c r="A78" s="230" t="s">
        <v>98</v>
      </c>
      <c r="B78" s="230" t="n">
        <f aca="false">SUM(C78:J78)</f>
        <v>107</v>
      </c>
      <c r="C78" s="230" t="n">
        <v>1</v>
      </c>
      <c r="D78" s="230" t="n">
        <v>0</v>
      </c>
      <c r="E78" s="230" t="n">
        <v>0</v>
      </c>
      <c r="F78" s="230" t="n">
        <v>1</v>
      </c>
      <c r="G78" s="230" t="n">
        <v>22</v>
      </c>
      <c r="H78" s="230" t="n">
        <v>30</v>
      </c>
      <c r="I78" s="232" t="n">
        <v>48</v>
      </c>
      <c r="J78" s="230" t="n">
        <v>5</v>
      </c>
    </row>
    <row r="79" customFormat="false" ht="12.75" hidden="false" customHeight="false" outlineLevel="0" collapsed="false">
      <c r="A79" s="230" t="s">
        <v>110</v>
      </c>
      <c r="B79" s="230" t="n">
        <f aca="false">SUM(C79:J79)</f>
        <v>179</v>
      </c>
      <c r="C79" s="230" t="n">
        <v>4</v>
      </c>
      <c r="D79" s="230" t="n">
        <v>1</v>
      </c>
      <c r="E79" s="230" t="n">
        <v>0</v>
      </c>
      <c r="F79" s="230" t="n">
        <v>11</v>
      </c>
      <c r="G79" s="230" t="n">
        <v>22</v>
      </c>
      <c r="H79" s="230" t="n">
        <v>56</v>
      </c>
      <c r="I79" s="232" t="n">
        <v>81</v>
      </c>
      <c r="J79" s="230" t="n">
        <v>4</v>
      </c>
    </row>
    <row r="80" customFormat="false" ht="13.5" hidden="false" customHeight="false" outlineLevel="0" collapsed="false">
      <c r="A80" s="239" t="s">
        <v>99</v>
      </c>
      <c r="B80" s="239" t="n">
        <f aca="false">SUM(C80:J80)</f>
        <v>211</v>
      </c>
      <c r="C80" s="239" t="n">
        <v>5</v>
      </c>
      <c r="D80" s="239" t="n">
        <v>4</v>
      </c>
      <c r="E80" s="239" t="n">
        <v>0</v>
      </c>
      <c r="F80" s="239" t="n">
        <v>6</v>
      </c>
      <c r="G80" s="239" t="n">
        <v>48</v>
      </c>
      <c r="H80" s="239" t="n">
        <v>28</v>
      </c>
      <c r="I80" s="232" t="n">
        <v>117</v>
      </c>
      <c r="J80" s="239" t="n">
        <v>3</v>
      </c>
    </row>
    <row r="81" customFormat="false" ht="16.5" hidden="false" customHeight="false" outlineLevel="0" collapsed="false">
      <c r="A81" s="240" t="s">
        <v>52</v>
      </c>
      <c r="B81" s="241" t="n">
        <f aca="false">SUM(B2:B80)</f>
        <v>35785</v>
      </c>
      <c r="C81" s="241" t="n">
        <f aca="false">SUM(C2:C80)</f>
        <v>554</v>
      </c>
      <c r="D81" s="241" t="n">
        <f aca="false">SUM(D2:D80)</f>
        <v>127</v>
      </c>
      <c r="E81" s="241" t="n">
        <f aca="false">SUM(E2:E80)</f>
        <v>1</v>
      </c>
      <c r="F81" s="241" t="n">
        <f aca="false">SUM(F2:F80)</f>
        <v>2633</v>
      </c>
      <c r="G81" s="241" t="n">
        <f aca="false">SUM(G2:G80)</f>
        <v>2928</v>
      </c>
      <c r="H81" s="241" t="n">
        <f aca="false">SUM(H2:H80)</f>
        <v>6900</v>
      </c>
      <c r="I81" s="242" t="n">
        <f aca="false">SUM(I2:I80)</f>
        <v>19521</v>
      </c>
      <c r="J81" s="241" t="n">
        <f aca="false">SUM(J2:J80)</f>
        <v>3121</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5" scale="87"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pageBreakPreview" topLeftCell="A1" colorId="64" zoomScale="65" zoomScaleNormal="100" zoomScalePageLayoutView="65" workbookViewId="0">
      <selection pane="topLeft" activeCell="H13" activeCellId="0" sqref="H13"/>
    </sheetView>
  </sheetViews>
  <sheetFormatPr defaultColWidth="9.1484375" defaultRowHeight="12.75" zeroHeight="false" outlineLevelRow="0" outlineLevelCol="0"/>
  <cols>
    <col collapsed="false" customWidth="true" hidden="false" outlineLevel="0" max="1" min="1" style="0" width="23.86"/>
    <col collapsed="false" customWidth="true" hidden="true" outlineLevel="0" max="2" min="2" style="0" width="15.57"/>
    <col collapsed="false" customWidth="true" hidden="false" outlineLevel="0" max="3" min="3" style="0" width="15.57"/>
    <col collapsed="false" customWidth="true" hidden="false" outlineLevel="0" max="4" min="4" style="0" width="15.71"/>
    <col collapsed="false" customWidth="true" hidden="false" outlineLevel="0" max="5" min="5" style="0" width="18.29"/>
    <col collapsed="false" customWidth="true" hidden="false" outlineLevel="0" max="257" min="257" style="0" width="23.86"/>
    <col collapsed="false" customWidth="true" hidden="true" outlineLevel="0" max="258" min="258" style="0" width="11.53"/>
    <col collapsed="false" customWidth="true" hidden="false" outlineLevel="0" max="259" min="259" style="0" width="15.57"/>
    <col collapsed="false" customWidth="true" hidden="false" outlineLevel="0" max="260" min="260" style="0" width="15.71"/>
    <col collapsed="false" customWidth="true" hidden="false" outlineLevel="0" max="261" min="261" style="0" width="18.29"/>
    <col collapsed="false" customWidth="true" hidden="false" outlineLevel="0" max="513" min="513" style="0" width="23.86"/>
    <col collapsed="false" customWidth="true" hidden="true" outlineLevel="0" max="514" min="514" style="0" width="11.53"/>
    <col collapsed="false" customWidth="true" hidden="false" outlineLevel="0" max="515" min="515" style="0" width="15.57"/>
    <col collapsed="false" customWidth="true" hidden="false" outlineLevel="0" max="516" min="516" style="0" width="15.71"/>
    <col collapsed="false" customWidth="true" hidden="false" outlineLevel="0" max="517" min="517" style="0" width="18.29"/>
    <col collapsed="false" customWidth="true" hidden="false" outlineLevel="0" max="769" min="769" style="0" width="23.86"/>
    <col collapsed="false" customWidth="true" hidden="true" outlineLevel="0" max="770" min="770" style="0" width="11.53"/>
    <col collapsed="false" customWidth="true" hidden="false" outlineLevel="0" max="771" min="771" style="0" width="15.57"/>
    <col collapsed="false" customWidth="true" hidden="false" outlineLevel="0" max="772" min="772" style="0" width="15.71"/>
    <col collapsed="false" customWidth="true" hidden="false" outlineLevel="0" max="773" min="773" style="0" width="18.29"/>
    <col collapsed="false" customWidth="true" hidden="false" outlineLevel="0" max="1025" min="1025" style="0" width="23.86"/>
    <col collapsed="false" customWidth="true" hidden="true" outlineLevel="0" max="1026" min="1026" style="0" width="11.53"/>
    <col collapsed="false" customWidth="true" hidden="false" outlineLevel="0" max="1027" min="1027" style="0" width="15.57"/>
    <col collapsed="false" customWidth="true" hidden="false" outlineLevel="0" max="1028" min="1028" style="0" width="15.71"/>
    <col collapsed="false" customWidth="true" hidden="false" outlineLevel="0" max="1029" min="1029" style="0" width="18.29"/>
    <col collapsed="false" customWidth="true" hidden="false" outlineLevel="0" max="1281" min="1281" style="0" width="23.86"/>
    <col collapsed="false" customWidth="true" hidden="true" outlineLevel="0" max="1282" min="1282" style="0" width="11.53"/>
    <col collapsed="false" customWidth="true" hidden="false" outlineLevel="0" max="1283" min="1283" style="0" width="15.57"/>
    <col collapsed="false" customWidth="true" hidden="false" outlineLevel="0" max="1284" min="1284" style="0" width="15.71"/>
    <col collapsed="false" customWidth="true" hidden="false" outlineLevel="0" max="1285" min="1285" style="0" width="18.29"/>
    <col collapsed="false" customWidth="true" hidden="false" outlineLevel="0" max="1537" min="1537" style="0" width="23.86"/>
    <col collapsed="false" customWidth="true" hidden="true" outlineLevel="0" max="1538" min="1538" style="0" width="11.53"/>
    <col collapsed="false" customWidth="true" hidden="false" outlineLevel="0" max="1539" min="1539" style="0" width="15.57"/>
    <col collapsed="false" customWidth="true" hidden="false" outlineLevel="0" max="1540" min="1540" style="0" width="15.71"/>
    <col collapsed="false" customWidth="true" hidden="false" outlineLevel="0" max="1541" min="1541" style="0" width="18.29"/>
    <col collapsed="false" customWidth="true" hidden="false" outlineLevel="0" max="1793" min="1793" style="0" width="23.86"/>
    <col collapsed="false" customWidth="true" hidden="true" outlineLevel="0" max="1794" min="1794" style="0" width="11.53"/>
    <col collapsed="false" customWidth="true" hidden="false" outlineLevel="0" max="1795" min="1795" style="0" width="15.57"/>
    <col collapsed="false" customWidth="true" hidden="false" outlineLevel="0" max="1796" min="1796" style="0" width="15.71"/>
    <col collapsed="false" customWidth="true" hidden="false" outlineLevel="0" max="1797" min="1797" style="0" width="18.29"/>
    <col collapsed="false" customWidth="true" hidden="false" outlineLevel="0" max="2049" min="2049" style="0" width="23.86"/>
    <col collapsed="false" customWidth="true" hidden="true" outlineLevel="0" max="2050" min="2050" style="0" width="11.53"/>
    <col collapsed="false" customWidth="true" hidden="false" outlineLevel="0" max="2051" min="2051" style="0" width="15.57"/>
    <col collapsed="false" customWidth="true" hidden="false" outlineLevel="0" max="2052" min="2052" style="0" width="15.71"/>
    <col collapsed="false" customWidth="true" hidden="false" outlineLevel="0" max="2053" min="2053" style="0" width="18.29"/>
    <col collapsed="false" customWidth="true" hidden="false" outlineLevel="0" max="2305" min="2305" style="0" width="23.86"/>
    <col collapsed="false" customWidth="true" hidden="true" outlineLevel="0" max="2306" min="2306" style="0" width="11.53"/>
    <col collapsed="false" customWidth="true" hidden="false" outlineLevel="0" max="2307" min="2307" style="0" width="15.57"/>
    <col collapsed="false" customWidth="true" hidden="false" outlineLevel="0" max="2308" min="2308" style="0" width="15.71"/>
    <col collapsed="false" customWidth="true" hidden="false" outlineLevel="0" max="2309" min="2309" style="0" width="18.29"/>
    <col collapsed="false" customWidth="true" hidden="false" outlineLevel="0" max="2561" min="2561" style="0" width="23.86"/>
    <col collapsed="false" customWidth="true" hidden="true" outlineLevel="0" max="2562" min="2562" style="0" width="11.53"/>
    <col collapsed="false" customWidth="true" hidden="false" outlineLevel="0" max="2563" min="2563" style="0" width="15.57"/>
    <col collapsed="false" customWidth="true" hidden="false" outlineLevel="0" max="2564" min="2564" style="0" width="15.71"/>
    <col collapsed="false" customWidth="true" hidden="false" outlineLevel="0" max="2565" min="2565" style="0" width="18.29"/>
    <col collapsed="false" customWidth="true" hidden="false" outlineLevel="0" max="2817" min="2817" style="0" width="23.86"/>
    <col collapsed="false" customWidth="true" hidden="true" outlineLevel="0" max="2818" min="2818" style="0" width="11.53"/>
    <col collapsed="false" customWidth="true" hidden="false" outlineLevel="0" max="2819" min="2819" style="0" width="15.57"/>
    <col collapsed="false" customWidth="true" hidden="false" outlineLevel="0" max="2820" min="2820" style="0" width="15.71"/>
    <col collapsed="false" customWidth="true" hidden="false" outlineLevel="0" max="2821" min="2821" style="0" width="18.29"/>
    <col collapsed="false" customWidth="true" hidden="false" outlineLevel="0" max="3073" min="3073" style="0" width="23.86"/>
    <col collapsed="false" customWidth="true" hidden="true" outlineLevel="0" max="3074" min="3074" style="0" width="11.53"/>
    <col collapsed="false" customWidth="true" hidden="false" outlineLevel="0" max="3075" min="3075" style="0" width="15.57"/>
    <col collapsed="false" customWidth="true" hidden="false" outlineLevel="0" max="3076" min="3076" style="0" width="15.71"/>
    <col collapsed="false" customWidth="true" hidden="false" outlineLevel="0" max="3077" min="3077" style="0" width="18.29"/>
    <col collapsed="false" customWidth="true" hidden="false" outlineLevel="0" max="3329" min="3329" style="0" width="23.86"/>
    <col collapsed="false" customWidth="true" hidden="true" outlineLevel="0" max="3330" min="3330" style="0" width="11.53"/>
    <col collapsed="false" customWidth="true" hidden="false" outlineLevel="0" max="3331" min="3331" style="0" width="15.57"/>
    <col collapsed="false" customWidth="true" hidden="false" outlineLevel="0" max="3332" min="3332" style="0" width="15.71"/>
    <col collapsed="false" customWidth="true" hidden="false" outlineLevel="0" max="3333" min="3333" style="0" width="18.29"/>
    <col collapsed="false" customWidth="true" hidden="false" outlineLevel="0" max="3585" min="3585" style="0" width="23.86"/>
    <col collapsed="false" customWidth="true" hidden="true" outlineLevel="0" max="3586" min="3586" style="0" width="11.53"/>
    <col collapsed="false" customWidth="true" hidden="false" outlineLevel="0" max="3587" min="3587" style="0" width="15.57"/>
    <col collapsed="false" customWidth="true" hidden="false" outlineLevel="0" max="3588" min="3588" style="0" width="15.71"/>
    <col collapsed="false" customWidth="true" hidden="false" outlineLevel="0" max="3589" min="3589" style="0" width="18.29"/>
    <col collapsed="false" customWidth="true" hidden="false" outlineLevel="0" max="3841" min="3841" style="0" width="23.86"/>
    <col collapsed="false" customWidth="true" hidden="true" outlineLevel="0" max="3842" min="3842" style="0" width="11.53"/>
    <col collapsed="false" customWidth="true" hidden="false" outlineLevel="0" max="3843" min="3843" style="0" width="15.57"/>
    <col collapsed="false" customWidth="true" hidden="false" outlineLevel="0" max="3844" min="3844" style="0" width="15.71"/>
    <col collapsed="false" customWidth="true" hidden="false" outlineLevel="0" max="3845" min="3845" style="0" width="18.29"/>
    <col collapsed="false" customWidth="true" hidden="false" outlineLevel="0" max="4097" min="4097" style="0" width="23.86"/>
    <col collapsed="false" customWidth="true" hidden="true" outlineLevel="0" max="4098" min="4098" style="0" width="11.53"/>
    <col collapsed="false" customWidth="true" hidden="false" outlineLevel="0" max="4099" min="4099" style="0" width="15.57"/>
    <col collapsed="false" customWidth="true" hidden="false" outlineLevel="0" max="4100" min="4100" style="0" width="15.71"/>
    <col collapsed="false" customWidth="true" hidden="false" outlineLevel="0" max="4101" min="4101" style="0" width="18.29"/>
    <col collapsed="false" customWidth="true" hidden="false" outlineLevel="0" max="4353" min="4353" style="0" width="23.86"/>
    <col collapsed="false" customWidth="true" hidden="true" outlineLevel="0" max="4354" min="4354" style="0" width="11.53"/>
    <col collapsed="false" customWidth="true" hidden="false" outlineLevel="0" max="4355" min="4355" style="0" width="15.57"/>
    <col collapsed="false" customWidth="true" hidden="false" outlineLevel="0" max="4356" min="4356" style="0" width="15.71"/>
    <col collapsed="false" customWidth="true" hidden="false" outlineLevel="0" max="4357" min="4357" style="0" width="18.29"/>
    <col collapsed="false" customWidth="true" hidden="false" outlineLevel="0" max="4609" min="4609" style="0" width="23.86"/>
    <col collapsed="false" customWidth="true" hidden="true" outlineLevel="0" max="4610" min="4610" style="0" width="11.53"/>
    <col collapsed="false" customWidth="true" hidden="false" outlineLevel="0" max="4611" min="4611" style="0" width="15.57"/>
    <col collapsed="false" customWidth="true" hidden="false" outlineLevel="0" max="4612" min="4612" style="0" width="15.71"/>
    <col collapsed="false" customWidth="true" hidden="false" outlineLevel="0" max="4613" min="4613" style="0" width="18.29"/>
    <col collapsed="false" customWidth="true" hidden="false" outlineLevel="0" max="4865" min="4865" style="0" width="23.86"/>
    <col collapsed="false" customWidth="true" hidden="true" outlineLevel="0" max="4866" min="4866" style="0" width="11.53"/>
    <col collapsed="false" customWidth="true" hidden="false" outlineLevel="0" max="4867" min="4867" style="0" width="15.57"/>
    <col collapsed="false" customWidth="true" hidden="false" outlineLevel="0" max="4868" min="4868" style="0" width="15.71"/>
    <col collapsed="false" customWidth="true" hidden="false" outlineLevel="0" max="4869" min="4869" style="0" width="18.29"/>
    <col collapsed="false" customWidth="true" hidden="false" outlineLevel="0" max="5121" min="5121" style="0" width="23.86"/>
    <col collapsed="false" customWidth="true" hidden="true" outlineLevel="0" max="5122" min="5122" style="0" width="11.53"/>
    <col collapsed="false" customWidth="true" hidden="false" outlineLevel="0" max="5123" min="5123" style="0" width="15.57"/>
    <col collapsed="false" customWidth="true" hidden="false" outlineLevel="0" max="5124" min="5124" style="0" width="15.71"/>
    <col collapsed="false" customWidth="true" hidden="false" outlineLevel="0" max="5125" min="5125" style="0" width="18.29"/>
    <col collapsed="false" customWidth="true" hidden="false" outlineLevel="0" max="5377" min="5377" style="0" width="23.86"/>
    <col collapsed="false" customWidth="true" hidden="true" outlineLevel="0" max="5378" min="5378" style="0" width="11.53"/>
    <col collapsed="false" customWidth="true" hidden="false" outlineLevel="0" max="5379" min="5379" style="0" width="15.57"/>
    <col collapsed="false" customWidth="true" hidden="false" outlineLevel="0" max="5380" min="5380" style="0" width="15.71"/>
    <col collapsed="false" customWidth="true" hidden="false" outlineLevel="0" max="5381" min="5381" style="0" width="18.29"/>
    <col collapsed="false" customWidth="true" hidden="false" outlineLevel="0" max="5633" min="5633" style="0" width="23.86"/>
    <col collapsed="false" customWidth="true" hidden="true" outlineLevel="0" max="5634" min="5634" style="0" width="11.53"/>
    <col collapsed="false" customWidth="true" hidden="false" outlineLevel="0" max="5635" min="5635" style="0" width="15.57"/>
    <col collapsed="false" customWidth="true" hidden="false" outlineLevel="0" max="5636" min="5636" style="0" width="15.71"/>
    <col collapsed="false" customWidth="true" hidden="false" outlineLevel="0" max="5637" min="5637" style="0" width="18.29"/>
    <col collapsed="false" customWidth="true" hidden="false" outlineLevel="0" max="5889" min="5889" style="0" width="23.86"/>
    <col collapsed="false" customWidth="true" hidden="true" outlineLevel="0" max="5890" min="5890" style="0" width="11.53"/>
    <col collapsed="false" customWidth="true" hidden="false" outlineLevel="0" max="5891" min="5891" style="0" width="15.57"/>
    <col collapsed="false" customWidth="true" hidden="false" outlineLevel="0" max="5892" min="5892" style="0" width="15.71"/>
    <col collapsed="false" customWidth="true" hidden="false" outlineLevel="0" max="5893" min="5893" style="0" width="18.29"/>
    <col collapsed="false" customWidth="true" hidden="false" outlineLevel="0" max="6145" min="6145" style="0" width="23.86"/>
    <col collapsed="false" customWidth="true" hidden="true" outlineLevel="0" max="6146" min="6146" style="0" width="11.53"/>
    <col collapsed="false" customWidth="true" hidden="false" outlineLevel="0" max="6147" min="6147" style="0" width="15.57"/>
    <col collapsed="false" customWidth="true" hidden="false" outlineLevel="0" max="6148" min="6148" style="0" width="15.71"/>
    <col collapsed="false" customWidth="true" hidden="false" outlineLevel="0" max="6149" min="6149" style="0" width="18.29"/>
    <col collapsed="false" customWidth="true" hidden="false" outlineLevel="0" max="6401" min="6401" style="0" width="23.86"/>
    <col collapsed="false" customWidth="true" hidden="true" outlineLevel="0" max="6402" min="6402" style="0" width="11.53"/>
    <col collapsed="false" customWidth="true" hidden="false" outlineLevel="0" max="6403" min="6403" style="0" width="15.57"/>
    <col collapsed="false" customWidth="true" hidden="false" outlineLevel="0" max="6404" min="6404" style="0" width="15.71"/>
    <col collapsed="false" customWidth="true" hidden="false" outlineLevel="0" max="6405" min="6405" style="0" width="18.29"/>
    <col collapsed="false" customWidth="true" hidden="false" outlineLevel="0" max="6657" min="6657" style="0" width="23.86"/>
    <col collapsed="false" customWidth="true" hidden="true" outlineLevel="0" max="6658" min="6658" style="0" width="11.53"/>
    <col collapsed="false" customWidth="true" hidden="false" outlineLevel="0" max="6659" min="6659" style="0" width="15.57"/>
    <col collapsed="false" customWidth="true" hidden="false" outlineLevel="0" max="6660" min="6660" style="0" width="15.71"/>
    <col collapsed="false" customWidth="true" hidden="false" outlineLevel="0" max="6661" min="6661" style="0" width="18.29"/>
    <col collapsed="false" customWidth="true" hidden="false" outlineLevel="0" max="6913" min="6913" style="0" width="23.86"/>
    <col collapsed="false" customWidth="true" hidden="true" outlineLevel="0" max="6914" min="6914" style="0" width="11.53"/>
    <col collapsed="false" customWidth="true" hidden="false" outlineLevel="0" max="6915" min="6915" style="0" width="15.57"/>
    <col collapsed="false" customWidth="true" hidden="false" outlineLevel="0" max="6916" min="6916" style="0" width="15.71"/>
    <col collapsed="false" customWidth="true" hidden="false" outlineLevel="0" max="6917" min="6917" style="0" width="18.29"/>
    <col collapsed="false" customWidth="true" hidden="false" outlineLevel="0" max="7169" min="7169" style="0" width="23.86"/>
    <col collapsed="false" customWidth="true" hidden="true" outlineLevel="0" max="7170" min="7170" style="0" width="11.53"/>
    <col collapsed="false" customWidth="true" hidden="false" outlineLevel="0" max="7171" min="7171" style="0" width="15.57"/>
    <col collapsed="false" customWidth="true" hidden="false" outlineLevel="0" max="7172" min="7172" style="0" width="15.71"/>
    <col collapsed="false" customWidth="true" hidden="false" outlineLevel="0" max="7173" min="7173" style="0" width="18.29"/>
    <col collapsed="false" customWidth="true" hidden="false" outlineLevel="0" max="7425" min="7425" style="0" width="23.86"/>
    <col collapsed="false" customWidth="true" hidden="true" outlineLevel="0" max="7426" min="7426" style="0" width="11.53"/>
    <col collapsed="false" customWidth="true" hidden="false" outlineLevel="0" max="7427" min="7427" style="0" width="15.57"/>
    <col collapsed="false" customWidth="true" hidden="false" outlineLevel="0" max="7428" min="7428" style="0" width="15.71"/>
    <col collapsed="false" customWidth="true" hidden="false" outlineLevel="0" max="7429" min="7429" style="0" width="18.29"/>
    <col collapsed="false" customWidth="true" hidden="false" outlineLevel="0" max="7681" min="7681" style="0" width="23.86"/>
    <col collapsed="false" customWidth="true" hidden="true" outlineLevel="0" max="7682" min="7682" style="0" width="11.53"/>
    <col collapsed="false" customWidth="true" hidden="false" outlineLevel="0" max="7683" min="7683" style="0" width="15.57"/>
    <col collapsed="false" customWidth="true" hidden="false" outlineLevel="0" max="7684" min="7684" style="0" width="15.71"/>
    <col collapsed="false" customWidth="true" hidden="false" outlineLevel="0" max="7685" min="7685" style="0" width="18.29"/>
    <col collapsed="false" customWidth="true" hidden="false" outlineLevel="0" max="7937" min="7937" style="0" width="23.86"/>
    <col collapsed="false" customWidth="true" hidden="true" outlineLevel="0" max="7938" min="7938" style="0" width="11.53"/>
    <col collapsed="false" customWidth="true" hidden="false" outlineLevel="0" max="7939" min="7939" style="0" width="15.57"/>
    <col collapsed="false" customWidth="true" hidden="false" outlineLevel="0" max="7940" min="7940" style="0" width="15.71"/>
    <col collapsed="false" customWidth="true" hidden="false" outlineLevel="0" max="7941" min="7941" style="0" width="18.29"/>
    <col collapsed="false" customWidth="true" hidden="false" outlineLevel="0" max="8193" min="8193" style="0" width="23.86"/>
    <col collapsed="false" customWidth="true" hidden="true" outlineLevel="0" max="8194" min="8194" style="0" width="11.53"/>
    <col collapsed="false" customWidth="true" hidden="false" outlineLevel="0" max="8195" min="8195" style="0" width="15.57"/>
    <col collapsed="false" customWidth="true" hidden="false" outlineLevel="0" max="8196" min="8196" style="0" width="15.71"/>
    <col collapsed="false" customWidth="true" hidden="false" outlineLevel="0" max="8197" min="8197" style="0" width="18.29"/>
    <col collapsed="false" customWidth="true" hidden="false" outlineLevel="0" max="8449" min="8449" style="0" width="23.86"/>
    <col collapsed="false" customWidth="true" hidden="true" outlineLevel="0" max="8450" min="8450" style="0" width="11.53"/>
    <col collapsed="false" customWidth="true" hidden="false" outlineLevel="0" max="8451" min="8451" style="0" width="15.57"/>
    <col collapsed="false" customWidth="true" hidden="false" outlineLevel="0" max="8452" min="8452" style="0" width="15.71"/>
    <col collapsed="false" customWidth="true" hidden="false" outlineLevel="0" max="8453" min="8453" style="0" width="18.29"/>
    <col collapsed="false" customWidth="true" hidden="false" outlineLevel="0" max="8705" min="8705" style="0" width="23.86"/>
    <col collapsed="false" customWidth="true" hidden="true" outlineLevel="0" max="8706" min="8706" style="0" width="11.53"/>
    <col collapsed="false" customWidth="true" hidden="false" outlineLevel="0" max="8707" min="8707" style="0" width="15.57"/>
    <col collapsed="false" customWidth="true" hidden="false" outlineLevel="0" max="8708" min="8708" style="0" width="15.71"/>
    <col collapsed="false" customWidth="true" hidden="false" outlineLevel="0" max="8709" min="8709" style="0" width="18.29"/>
    <col collapsed="false" customWidth="true" hidden="false" outlineLevel="0" max="8961" min="8961" style="0" width="23.86"/>
    <col collapsed="false" customWidth="true" hidden="true" outlineLevel="0" max="8962" min="8962" style="0" width="11.53"/>
    <col collapsed="false" customWidth="true" hidden="false" outlineLevel="0" max="8963" min="8963" style="0" width="15.57"/>
    <col collapsed="false" customWidth="true" hidden="false" outlineLevel="0" max="8964" min="8964" style="0" width="15.71"/>
    <col collapsed="false" customWidth="true" hidden="false" outlineLevel="0" max="8965" min="8965" style="0" width="18.29"/>
    <col collapsed="false" customWidth="true" hidden="false" outlineLevel="0" max="9217" min="9217" style="0" width="23.86"/>
    <col collapsed="false" customWidth="true" hidden="true" outlineLevel="0" max="9218" min="9218" style="0" width="11.53"/>
    <col collapsed="false" customWidth="true" hidden="false" outlineLevel="0" max="9219" min="9219" style="0" width="15.57"/>
    <col collapsed="false" customWidth="true" hidden="false" outlineLevel="0" max="9220" min="9220" style="0" width="15.71"/>
    <col collapsed="false" customWidth="true" hidden="false" outlineLevel="0" max="9221" min="9221" style="0" width="18.29"/>
    <col collapsed="false" customWidth="true" hidden="false" outlineLevel="0" max="9473" min="9473" style="0" width="23.86"/>
    <col collapsed="false" customWidth="true" hidden="true" outlineLevel="0" max="9474" min="9474" style="0" width="11.53"/>
    <col collapsed="false" customWidth="true" hidden="false" outlineLevel="0" max="9475" min="9475" style="0" width="15.57"/>
    <col collapsed="false" customWidth="true" hidden="false" outlineLevel="0" max="9476" min="9476" style="0" width="15.71"/>
    <col collapsed="false" customWidth="true" hidden="false" outlineLevel="0" max="9477" min="9477" style="0" width="18.29"/>
    <col collapsed="false" customWidth="true" hidden="false" outlineLevel="0" max="9729" min="9729" style="0" width="23.86"/>
    <col collapsed="false" customWidth="true" hidden="true" outlineLevel="0" max="9730" min="9730" style="0" width="11.53"/>
    <col collapsed="false" customWidth="true" hidden="false" outlineLevel="0" max="9731" min="9731" style="0" width="15.57"/>
    <col collapsed="false" customWidth="true" hidden="false" outlineLevel="0" max="9732" min="9732" style="0" width="15.71"/>
    <col collapsed="false" customWidth="true" hidden="false" outlineLevel="0" max="9733" min="9733" style="0" width="18.29"/>
    <col collapsed="false" customWidth="true" hidden="false" outlineLevel="0" max="9985" min="9985" style="0" width="23.86"/>
    <col collapsed="false" customWidth="true" hidden="true" outlineLevel="0" max="9986" min="9986" style="0" width="11.53"/>
    <col collapsed="false" customWidth="true" hidden="false" outlineLevel="0" max="9987" min="9987" style="0" width="15.57"/>
    <col collapsed="false" customWidth="true" hidden="false" outlineLevel="0" max="9988" min="9988" style="0" width="15.71"/>
    <col collapsed="false" customWidth="true" hidden="false" outlineLevel="0" max="9989" min="9989" style="0" width="18.29"/>
    <col collapsed="false" customWidth="true" hidden="false" outlineLevel="0" max="10241" min="10241" style="0" width="23.86"/>
    <col collapsed="false" customWidth="true" hidden="true" outlineLevel="0" max="10242" min="10242" style="0" width="11.53"/>
    <col collapsed="false" customWidth="true" hidden="false" outlineLevel="0" max="10243" min="10243" style="0" width="15.57"/>
    <col collapsed="false" customWidth="true" hidden="false" outlineLevel="0" max="10244" min="10244" style="0" width="15.71"/>
    <col collapsed="false" customWidth="true" hidden="false" outlineLevel="0" max="10245" min="10245" style="0" width="18.29"/>
    <col collapsed="false" customWidth="true" hidden="false" outlineLevel="0" max="10497" min="10497" style="0" width="23.86"/>
    <col collapsed="false" customWidth="true" hidden="true" outlineLevel="0" max="10498" min="10498" style="0" width="11.53"/>
    <col collapsed="false" customWidth="true" hidden="false" outlineLevel="0" max="10499" min="10499" style="0" width="15.57"/>
    <col collapsed="false" customWidth="true" hidden="false" outlineLevel="0" max="10500" min="10500" style="0" width="15.71"/>
    <col collapsed="false" customWidth="true" hidden="false" outlineLevel="0" max="10501" min="10501" style="0" width="18.29"/>
    <col collapsed="false" customWidth="true" hidden="false" outlineLevel="0" max="10753" min="10753" style="0" width="23.86"/>
    <col collapsed="false" customWidth="true" hidden="true" outlineLevel="0" max="10754" min="10754" style="0" width="11.53"/>
    <col collapsed="false" customWidth="true" hidden="false" outlineLevel="0" max="10755" min="10755" style="0" width="15.57"/>
    <col collapsed="false" customWidth="true" hidden="false" outlineLevel="0" max="10756" min="10756" style="0" width="15.71"/>
    <col collapsed="false" customWidth="true" hidden="false" outlineLevel="0" max="10757" min="10757" style="0" width="18.29"/>
    <col collapsed="false" customWidth="true" hidden="false" outlineLevel="0" max="11009" min="11009" style="0" width="23.86"/>
    <col collapsed="false" customWidth="true" hidden="true" outlineLevel="0" max="11010" min="11010" style="0" width="11.53"/>
    <col collapsed="false" customWidth="true" hidden="false" outlineLevel="0" max="11011" min="11011" style="0" width="15.57"/>
    <col collapsed="false" customWidth="true" hidden="false" outlineLevel="0" max="11012" min="11012" style="0" width="15.71"/>
    <col collapsed="false" customWidth="true" hidden="false" outlineLevel="0" max="11013" min="11013" style="0" width="18.29"/>
    <col collapsed="false" customWidth="true" hidden="false" outlineLevel="0" max="11265" min="11265" style="0" width="23.86"/>
    <col collapsed="false" customWidth="true" hidden="true" outlineLevel="0" max="11266" min="11266" style="0" width="11.53"/>
    <col collapsed="false" customWidth="true" hidden="false" outlineLevel="0" max="11267" min="11267" style="0" width="15.57"/>
    <col collapsed="false" customWidth="true" hidden="false" outlineLevel="0" max="11268" min="11268" style="0" width="15.71"/>
    <col collapsed="false" customWidth="true" hidden="false" outlineLevel="0" max="11269" min="11269" style="0" width="18.29"/>
    <col collapsed="false" customWidth="true" hidden="false" outlineLevel="0" max="11521" min="11521" style="0" width="23.86"/>
    <col collapsed="false" customWidth="true" hidden="true" outlineLevel="0" max="11522" min="11522" style="0" width="11.53"/>
    <col collapsed="false" customWidth="true" hidden="false" outlineLevel="0" max="11523" min="11523" style="0" width="15.57"/>
    <col collapsed="false" customWidth="true" hidden="false" outlineLevel="0" max="11524" min="11524" style="0" width="15.71"/>
    <col collapsed="false" customWidth="true" hidden="false" outlineLevel="0" max="11525" min="11525" style="0" width="18.29"/>
    <col collapsed="false" customWidth="true" hidden="false" outlineLevel="0" max="11777" min="11777" style="0" width="23.86"/>
    <col collapsed="false" customWidth="true" hidden="true" outlineLevel="0" max="11778" min="11778" style="0" width="11.53"/>
    <col collapsed="false" customWidth="true" hidden="false" outlineLevel="0" max="11779" min="11779" style="0" width="15.57"/>
    <col collapsed="false" customWidth="true" hidden="false" outlineLevel="0" max="11780" min="11780" style="0" width="15.71"/>
    <col collapsed="false" customWidth="true" hidden="false" outlineLevel="0" max="11781" min="11781" style="0" width="18.29"/>
    <col collapsed="false" customWidth="true" hidden="false" outlineLevel="0" max="12033" min="12033" style="0" width="23.86"/>
    <col collapsed="false" customWidth="true" hidden="true" outlineLevel="0" max="12034" min="12034" style="0" width="11.53"/>
    <col collapsed="false" customWidth="true" hidden="false" outlineLevel="0" max="12035" min="12035" style="0" width="15.57"/>
    <col collapsed="false" customWidth="true" hidden="false" outlineLevel="0" max="12036" min="12036" style="0" width="15.71"/>
    <col collapsed="false" customWidth="true" hidden="false" outlineLevel="0" max="12037" min="12037" style="0" width="18.29"/>
    <col collapsed="false" customWidth="true" hidden="false" outlineLevel="0" max="12289" min="12289" style="0" width="23.86"/>
    <col collapsed="false" customWidth="true" hidden="true" outlineLevel="0" max="12290" min="12290" style="0" width="11.53"/>
    <col collapsed="false" customWidth="true" hidden="false" outlineLevel="0" max="12291" min="12291" style="0" width="15.57"/>
    <col collapsed="false" customWidth="true" hidden="false" outlineLevel="0" max="12292" min="12292" style="0" width="15.71"/>
    <col collapsed="false" customWidth="true" hidden="false" outlineLevel="0" max="12293" min="12293" style="0" width="18.29"/>
    <col collapsed="false" customWidth="true" hidden="false" outlineLevel="0" max="12545" min="12545" style="0" width="23.86"/>
    <col collapsed="false" customWidth="true" hidden="true" outlineLevel="0" max="12546" min="12546" style="0" width="11.53"/>
    <col collapsed="false" customWidth="true" hidden="false" outlineLevel="0" max="12547" min="12547" style="0" width="15.57"/>
    <col collapsed="false" customWidth="true" hidden="false" outlineLevel="0" max="12548" min="12548" style="0" width="15.71"/>
    <col collapsed="false" customWidth="true" hidden="false" outlineLevel="0" max="12549" min="12549" style="0" width="18.29"/>
    <col collapsed="false" customWidth="true" hidden="false" outlineLevel="0" max="12801" min="12801" style="0" width="23.86"/>
    <col collapsed="false" customWidth="true" hidden="true" outlineLevel="0" max="12802" min="12802" style="0" width="11.53"/>
    <col collapsed="false" customWidth="true" hidden="false" outlineLevel="0" max="12803" min="12803" style="0" width="15.57"/>
    <col collapsed="false" customWidth="true" hidden="false" outlineLevel="0" max="12804" min="12804" style="0" width="15.71"/>
    <col collapsed="false" customWidth="true" hidden="false" outlineLevel="0" max="12805" min="12805" style="0" width="18.29"/>
    <col collapsed="false" customWidth="true" hidden="false" outlineLevel="0" max="13057" min="13057" style="0" width="23.86"/>
    <col collapsed="false" customWidth="true" hidden="true" outlineLevel="0" max="13058" min="13058" style="0" width="11.53"/>
    <col collapsed="false" customWidth="true" hidden="false" outlineLevel="0" max="13059" min="13059" style="0" width="15.57"/>
    <col collapsed="false" customWidth="true" hidden="false" outlineLevel="0" max="13060" min="13060" style="0" width="15.71"/>
    <col collapsed="false" customWidth="true" hidden="false" outlineLevel="0" max="13061" min="13061" style="0" width="18.29"/>
    <col collapsed="false" customWidth="true" hidden="false" outlineLevel="0" max="13313" min="13313" style="0" width="23.86"/>
    <col collapsed="false" customWidth="true" hidden="true" outlineLevel="0" max="13314" min="13314" style="0" width="11.53"/>
    <col collapsed="false" customWidth="true" hidden="false" outlineLevel="0" max="13315" min="13315" style="0" width="15.57"/>
    <col collapsed="false" customWidth="true" hidden="false" outlineLevel="0" max="13316" min="13316" style="0" width="15.71"/>
    <col collapsed="false" customWidth="true" hidden="false" outlineLevel="0" max="13317" min="13317" style="0" width="18.29"/>
    <col collapsed="false" customWidth="true" hidden="false" outlineLevel="0" max="13569" min="13569" style="0" width="23.86"/>
    <col collapsed="false" customWidth="true" hidden="true" outlineLevel="0" max="13570" min="13570" style="0" width="11.53"/>
    <col collapsed="false" customWidth="true" hidden="false" outlineLevel="0" max="13571" min="13571" style="0" width="15.57"/>
    <col collapsed="false" customWidth="true" hidden="false" outlineLevel="0" max="13572" min="13572" style="0" width="15.71"/>
    <col collapsed="false" customWidth="true" hidden="false" outlineLevel="0" max="13573" min="13573" style="0" width="18.29"/>
    <col collapsed="false" customWidth="true" hidden="false" outlineLevel="0" max="13825" min="13825" style="0" width="23.86"/>
    <col collapsed="false" customWidth="true" hidden="true" outlineLevel="0" max="13826" min="13826" style="0" width="11.53"/>
    <col collapsed="false" customWidth="true" hidden="false" outlineLevel="0" max="13827" min="13827" style="0" width="15.57"/>
    <col collapsed="false" customWidth="true" hidden="false" outlineLevel="0" max="13828" min="13828" style="0" width="15.71"/>
    <col collapsed="false" customWidth="true" hidden="false" outlineLevel="0" max="13829" min="13829" style="0" width="18.29"/>
    <col collapsed="false" customWidth="true" hidden="false" outlineLevel="0" max="14081" min="14081" style="0" width="23.86"/>
    <col collapsed="false" customWidth="true" hidden="true" outlineLevel="0" max="14082" min="14082" style="0" width="11.53"/>
    <col collapsed="false" customWidth="true" hidden="false" outlineLevel="0" max="14083" min="14083" style="0" width="15.57"/>
    <col collapsed="false" customWidth="true" hidden="false" outlineLevel="0" max="14084" min="14084" style="0" width="15.71"/>
    <col collapsed="false" customWidth="true" hidden="false" outlineLevel="0" max="14085" min="14085" style="0" width="18.29"/>
    <col collapsed="false" customWidth="true" hidden="false" outlineLevel="0" max="14337" min="14337" style="0" width="23.86"/>
    <col collapsed="false" customWidth="true" hidden="true" outlineLevel="0" max="14338" min="14338" style="0" width="11.53"/>
    <col collapsed="false" customWidth="true" hidden="false" outlineLevel="0" max="14339" min="14339" style="0" width="15.57"/>
    <col collapsed="false" customWidth="true" hidden="false" outlineLevel="0" max="14340" min="14340" style="0" width="15.71"/>
    <col collapsed="false" customWidth="true" hidden="false" outlineLevel="0" max="14341" min="14341" style="0" width="18.29"/>
    <col collapsed="false" customWidth="true" hidden="false" outlineLevel="0" max="14593" min="14593" style="0" width="23.86"/>
    <col collapsed="false" customWidth="true" hidden="true" outlineLevel="0" max="14594" min="14594" style="0" width="11.53"/>
    <col collapsed="false" customWidth="true" hidden="false" outlineLevel="0" max="14595" min="14595" style="0" width="15.57"/>
    <col collapsed="false" customWidth="true" hidden="false" outlineLevel="0" max="14596" min="14596" style="0" width="15.71"/>
    <col collapsed="false" customWidth="true" hidden="false" outlineLevel="0" max="14597" min="14597" style="0" width="18.29"/>
    <col collapsed="false" customWidth="true" hidden="false" outlineLevel="0" max="14849" min="14849" style="0" width="23.86"/>
    <col collapsed="false" customWidth="true" hidden="true" outlineLevel="0" max="14850" min="14850" style="0" width="11.53"/>
    <col collapsed="false" customWidth="true" hidden="false" outlineLevel="0" max="14851" min="14851" style="0" width="15.57"/>
    <col collapsed="false" customWidth="true" hidden="false" outlineLevel="0" max="14852" min="14852" style="0" width="15.71"/>
    <col collapsed="false" customWidth="true" hidden="false" outlineLevel="0" max="14853" min="14853" style="0" width="18.29"/>
    <col collapsed="false" customWidth="true" hidden="false" outlineLevel="0" max="15105" min="15105" style="0" width="23.86"/>
    <col collapsed="false" customWidth="true" hidden="true" outlineLevel="0" max="15106" min="15106" style="0" width="11.53"/>
    <col collapsed="false" customWidth="true" hidden="false" outlineLevel="0" max="15107" min="15107" style="0" width="15.57"/>
    <col collapsed="false" customWidth="true" hidden="false" outlineLevel="0" max="15108" min="15108" style="0" width="15.71"/>
    <col collapsed="false" customWidth="true" hidden="false" outlineLevel="0" max="15109" min="15109" style="0" width="18.29"/>
    <col collapsed="false" customWidth="true" hidden="false" outlineLevel="0" max="15361" min="15361" style="0" width="23.86"/>
    <col collapsed="false" customWidth="true" hidden="true" outlineLevel="0" max="15362" min="15362" style="0" width="11.53"/>
    <col collapsed="false" customWidth="true" hidden="false" outlineLevel="0" max="15363" min="15363" style="0" width="15.57"/>
    <col collapsed="false" customWidth="true" hidden="false" outlineLevel="0" max="15364" min="15364" style="0" width="15.71"/>
    <col collapsed="false" customWidth="true" hidden="false" outlineLevel="0" max="15365" min="15365" style="0" width="18.29"/>
    <col collapsed="false" customWidth="true" hidden="false" outlineLevel="0" max="15617" min="15617" style="0" width="23.86"/>
    <col collapsed="false" customWidth="true" hidden="true" outlineLevel="0" max="15618" min="15618" style="0" width="11.53"/>
    <col collapsed="false" customWidth="true" hidden="false" outlineLevel="0" max="15619" min="15619" style="0" width="15.57"/>
    <col collapsed="false" customWidth="true" hidden="false" outlineLevel="0" max="15620" min="15620" style="0" width="15.71"/>
    <col collapsed="false" customWidth="true" hidden="false" outlineLevel="0" max="15621" min="15621" style="0" width="18.29"/>
    <col collapsed="false" customWidth="true" hidden="false" outlineLevel="0" max="15873" min="15873" style="0" width="23.86"/>
    <col collapsed="false" customWidth="true" hidden="true" outlineLevel="0" max="15874" min="15874" style="0" width="11.53"/>
    <col collapsed="false" customWidth="true" hidden="false" outlineLevel="0" max="15875" min="15875" style="0" width="15.57"/>
    <col collapsed="false" customWidth="true" hidden="false" outlineLevel="0" max="15876" min="15876" style="0" width="15.71"/>
    <col collapsed="false" customWidth="true" hidden="false" outlineLevel="0" max="15877" min="15877" style="0" width="18.29"/>
    <col collapsed="false" customWidth="true" hidden="false" outlineLevel="0" max="16129" min="16129" style="0" width="23.86"/>
    <col collapsed="false" customWidth="true" hidden="true" outlineLevel="0" max="16130" min="16130" style="0" width="11.53"/>
    <col collapsed="false" customWidth="true" hidden="false" outlineLevel="0" max="16131" min="16131" style="0" width="15.57"/>
    <col collapsed="false" customWidth="true" hidden="false" outlineLevel="0" max="16132" min="16132" style="0" width="15.71"/>
    <col collapsed="false" customWidth="true" hidden="false" outlineLevel="0" max="16133" min="16133" style="0" width="18.29"/>
  </cols>
  <sheetData>
    <row r="1" customFormat="false" ht="12.75" hidden="false" customHeight="false" outlineLevel="0" collapsed="false">
      <c r="A1" s="98" t="s">
        <v>244</v>
      </c>
      <c r="B1" s="98"/>
      <c r="C1" s="98"/>
      <c r="D1" s="98"/>
      <c r="E1" s="98"/>
    </row>
    <row r="2" customFormat="false" ht="12.75" hidden="false" customHeight="false" outlineLevel="0" collapsed="false">
      <c r="A2" s="98" t="s">
        <v>245</v>
      </c>
      <c r="B2" s="98"/>
      <c r="C2" s="98"/>
      <c r="D2" s="98"/>
      <c r="E2" s="98"/>
    </row>
    <row r="3" customFormat="false" ht="12.75" hidden="false" customHeight="false" outlineLevel="0" collapsed="false">
      <c r="A3" s="98" t="s">
        <v>246</v>
      </c>
      <c r="B3" s="98"/>
      <c r="C3" s="98"/>
      <c r="D3" s="98"/>
      <c r="E3" s="98"/>
    </row>
    <row r="4" customFormat="false" ht="12.75" hidden="false" customHeight="false" outlineLevel="0" collapsed="false">
      <c r="A4" s="98" t="s">
        <v>247</v>
      </c>
      <c r="B4" s="98"/>
      <c r="C4" s="98"/>
      <c r="D4" s="98"/>
      <c r="E4" s="98"/>
    </row>
    <row r="5" customFormat="false" ht="13.5" hidden="false" customHeight="false" outlineLevel="0" collapsed="false"/>
    <row r="6" customFormat="false" ht="16.5" hidden="false" customHeight="false" outlineLevel="0" collapsed="false">
      <c r="A6" s="240" t="s">
        <v>248</v>
      </c>
      <c r="B6" s="243" t="s">
        <v>249</v>
      </c>
      <c r="C6" s="244" t="s">
        <v>52</v>
      </c>
      <c r="D6" s="245" t="s">
        <v>250</v>
      </c>
      <c r="E6" s="245"/>
    </row>
    <row r="7" customFormat="false" ht="16.5" hidden="false" customHeight="false" outlineLevel="0" collapsed="false">
      <c r="A7" s="240"/>
      <c r="B7" s="243"/>
      <c r="C7" s="244"/>
      <c r="D7" s="240" t="s">
        <v>251</v>
      </c>
      <c r="E7" s="245" t="s">
        <v>252</v>
      </c>
    </row>
    <row r="8" customFormat="false" ht="16.5" hidden="false" customHeight="false" outlineLevel="0" collapsed="false">
      <c r="A8" s="246" t="s">
        <v>249</v>
      </c>
      <c r="B8" s="246" t="n">
        <f aca="false">SUM(B9:B25)</f>
        <v>554</v>
      </c>
      <c r="C8" s="247" t="n">
        <f aca="false">SUM(D8:E8)</f>
        <v>554</v>
      </c>
      <c r="D8" s="248" t="n">
        <f aca="false">SUM(D9:D25)</f>
        <v>507</v>
      </c>
      <c r="E8" s="249" t="n">
        <f aca="false">SUM(E9:E25)</f>
        <v>47</v>
      </c>
    </row>
    <row r="9" s="255" customFormat="true" ht="15" hidden="false" customHeight="false" outlineLevel="0" collapsed="false">
      <c r="A9" s="250" t="s">
        <v>253</v>
      </c>
      <c r="B9" s="251" t="n">
        <f aca="false">SUM(D9:E9)</f>
        <v>5</v>
      </c>
      <c r="C9" s="252" t="n">
        <f aca="false">SUM(D9:E9)</f>
        <v>5</v>
      </c>
      <c r="D9" s="253"/>
      <c r="E9" s="254" t="n">
        <v>5</v>
      </c>
    </row>
    <row r="10" s="255" customFormat="true" ht="15" hidden="false" customHeight="false" outlineLevel="0" collapsed="false">
      <c r="A10" s="256" t="s">
        <v>254</v>
      </c>
      <c r="B10" s="251" t="n">
        <f aca="false">SUM(D10:E10)</f>
        <v>1</v>
      </c>
      <c r="C10" s="257" t="n">
        <f aca="false">SUM(D10:E10)</f>
        <v>1</v>
      </c>
      <c r="D10" s="258"/>
      <c r="E10" s="259" t="n">
        <v>1</v>
      </c>
    </row>
    <row r="11" s="255" customFormat="true" ht="15" hidden="false" customHeight="false" outlineLevel="0" collapsed="false">
      <c r="A11" s="256" t="s">
        <v>255</v>
      </c>
      <c r="B11" s="251" t="n">
        <f aca="false">SUM(D11:E11)</f>
        <v>0</v>
      </c>
      <c r="C11" s="257" t="n">
        <f aca="false">SUM(D11:E11)</f>
        <v>0</v>
      </c>
      <c r="D11" s="258"/>
      <c r="E11" s="259"/>
    </row>
    <row r="12" s="255" customFormat="true" ht="15" hidden="false" customHeight="false" outlineLevel="0" collapsed="false">
      <c r="A12" s="256" t="s">
        <v>256</v>
      </c>
      <c r="B12" s="251" t="n">
        <f aca="false">SUM(D12:E12)</f>
        <v>0</v>
      </c>
      <c r="C12" s="257" t="n">
        <f aca="false">SUM(D12:E12)</f>
        <v>0</v>
      </c>
      <c r="D12" s="258"/>
      <c r="E12" s="259"/>
    </row>
    <row r="13" s="255" customFormat="true" ht="15" hidden="false" customHeight="false" outlineLevel="0" collapsed="false">
      <c r="A13" s="256" t="s">
        <v>257</v>
      </c>
      <c r="B13" s="251" t="n">
        <f aca="false">SUM(D13:E13)</f>
        <v>6</v>
      </c>
      <c r="C13" s="257" t="n">
        <f aca="false">SUM(D13:E13)</f>
        <v>6</v>
      </c>
      <c r="D13" s="258" t="n">
        <v>6</v>
      </c>
      <c r="E13" s="259"/>
    </row>
    <row r="14" s="255" customFormat="true" ht="15" hidden="false" customHeight="false" outlineLevel="0" collapsed="false">
      <c r="A14" s="256" t="s">
        <v>258</v>
      </c>
      <c r="B14" s="251" t="n">
        <f aca="false">SUM(D14:E14)</f>
        <v>13</v>
      </c>
      <c r="C14" s="257" t="n">
        <f aca="false">SUM(D14:E14)</f>
        <v>13</v>
      </c>
      <c r="D14" s="258" t="n">
        <v>12</v>
      </c>
      <c r="E14" s="259" t="n">
        <v>1</v>
      </c>
    </row>
    <row r="15" s="255" customFormat="true" ht="15" hidden="false" customHeight="false" outlineLevel="0" collapsed="false">
      <c r="A15" s="256" t="s">
        <v>259</v>
      </c>
      <c r="B15" s="251" t="n">
        <f aca="false">SUM(D15:E15)</f>
        <v>67</v>
      </c>
      <c r="C15" s="257" t="n">
        <f aca="false">SUM(D15:E15)</f>
        <v>67</v>
      </c>
      <c r="D15" s="258" t="n">
        <v>63</v>
      </c>
      <c r="E15" s="259" t="n">
        <v>4</v>
      </c>
    </row>
    <row r="16" s="255" customFormat="true" ht="15" hidden="false" customHeight="false" outlineLevel="0" collapsed="false">
      <c r="A16" s="256" t="s">
        <v>260</v>
      </c>
      <c r="B16" s="251" t="n">
        <f aca="false">SUM(D16:E16)</f>
        <v>70</v>
      </c>
      <c r="C16" s="257" t="n">
        <f aca="false">SUM(D16:E16)</f>
        <v>70</v>
      </c>
      <c r="D16" s="258" t="n">
        <v>66</v>
      </c>
      <c r="E16" s="259" t="n">
        <v>4</v>
      </c>
    </row>
    <row r="17" s="255" customFormat="true" ht="15" hidden="false" customHeight="false" outlineLevel="0" collapsed="false">
      <c r="A17" s="256" t="s">
        <v>261</v>
      </c>
      <c r="B17" s="251" t="n">
        <f aca="false">SUM(D17:E17)</f>
        <v>68</v>
      </c>
      <c r="C17" s="257" t="n">
        <f aca="false">SUM(D17:E17)</f>
        <v>68</v>
      </c>
      <c r="D17" s="258" t="n">
        <v>61</v>
      </c>
      <c r="E17" s="259" t="n">
        <v>7</v>
      </c>
    </row>
    <row r="18" s="255" customFormat="true" ht="15" hidden="false" customHeight="false" outlineLevel="0" collapsed="false">
      <c r="A18" s="256" t="s">
        <v>262</v>
      </c>
      <c r="B18" s="251" t="n">
        <f aca="false">SUM(D18:E18)</f>
        <v>48</v>
      </c>
      <c r="C18" s="257" t="n">
        <f aca="false">SUM(D18:E18)</f>
        <v>48</v>
      </c>
      <c r="D18" s="258" t="n">
        <v>45</v>
      </c>
      <c r="E18" s="259" t="n">
        <v>3</v>
      </c>
    </row>
    <row r="19" s="255" customFormat="true" ht="15" hidden="false" customHeight="false" outlineLevel="0" collapsed="false">
      <c r="A19" s="256" t="s">
        <v>263</v>
      </c>
      <c r="B19" s="251" t="n">
        <f aca="false">SUM(D19:E19)</f>
        <v>30</v>
      </c>
      <c r="C19" s="257" t="n">
        <f aca="false">SUM(D19:E19)</f>
        <v>30</v>
      </c>
      <c r="D19" s="258" t="n">
        <v>28</v>
      </c>
      <c r="E19" s="259" t="n">
        <v>2</v>
      </c>
    </row>
    <row r="20" s="255" customFormat="true" ht="15" hidden="false" customHeight="false" outlineLevel="0" collapsed="false">
      <c r="A20" s="256" t="s">
        <v>264</v>
      </c>
      <c r="B20" s="251" t="n">
        <f aca="false">SUM(D20:E20)</f>
        <v>17</v>
      </c>
      <c r="C20" s="257" t="n">
        <f aca="false">SUM(D20:E20)</f>
        <v>17</v>
      </c>
      <c r="D20" s="258" t="n">
        <v>16</v>
      </c>
      <c r="E20" s="259" t="n">
        <v>1</v>
      </c>
    </row>
    <row r="21" s="255" customFormat="true" ht="15" hidden="false" customHeight="false" outlineLevel="0" collapsed="false">
      <c r="A21" s="256" t="s">
        <v>265</v>
      </c>
      <c r="B21" s="251" t="n">
        <f aca="false">SUM(D21:E21)</f>
        <v>13</v>
      </c>
      <c r="C21" s="257" t="n">
        <f aca="false">SUM(D21:E21)</f>
        <v>13</v>
      </c>
      <c r="D21" s="258" t="n">
        <v>11</v>
      </c>
      <c r="E21" s="259" t="n">
        <v>2</v>
      </c>
    </row>
    <row r="22" s="255" customFormat="true" ht="15" hidden="false" customHeight="false" outlineLevel="0" collapsed="false">
      <c r="A22" s="256" t="s">
        <v>266</v>
      </c>
      <c r="B22" s="251" t="n">
        <f aca="false">SUM(D22:E22)</f>
        <v>7</v>
      </c>
      <c r="C22" s="257" t="n">
        <f aca="false">SUM(D22:E22)</f>
        <v>7</v>
      </c>
      <c r="D22" s="258" t="n">
        <v>6</v>
      </c>
      <c r="E22" s="259" t="n">
        <v>1</v>
      </c>
      <c r="G22" s="255" t="s">
        <v>267</v>
      </c>
    </row>
    <row r="23" s="255" customFormat="true" ht="15" hidden="false" customHeight="false" outlineLevel="0" collapsed="false">
      <c r="A23" s="256" t="s">
        <v>268</v>
      </c>
      <c r="B23" s="251" t="n">
        <f aca="false">SUM(D23:E23)</f>
        <v>5</v>
      </c>
      <c r="C23" s="257" t="n">
        <f aca="false">SUM(D23:E23)</f>
        <v>5</v>
      </c>
      <c r="D23" s="258" t="n">
        <v>4</v>
      </c>
      <c r="E23" s="259" t="n">
        <v>1</v>
      </c>
    </row>
    <row r="24" s="255" customFormat="true" ht="15" hidden="false" customHeight="false" outlineLevel="0" collapsed="false">
      <c r="A24" s="256" t="s">
        <v>269</v>
      </c>
      <c r="B24" s="251" t="n">
        <f aca="false">SUM(D24:E24)</f>
        <v>16</v>
      </c>
      <c r="C24" s="257" t="n">
        <f aca="false">SUM(D24:E24)</f>
        <v>16</v>
      </c>
      <c r="D24" s="258" t="n">
        <v>10</v>
      </c>
      <c r="E24" s="259" t="n">
        <v>6</v>
      </c>
    </row>
    <row r="25" s="255" customFormat="true" ht="15.75" hidden="false" customHeight="false" outlineLevel="0" collapsed="false">
      <c r="A25" s="260" t="s">
        <v>270</v>
      </c>
      <c r="B25" s="261" t="n">
        <f aca="false">SUM(D25:E25)</f>
        <v>188</v>
      </c>
      <c r="C25" s="257" t="n">
        <f aca="false">SUM(D25:E25)</f>
        <v>188</v>
      </c>
      <c r="D25" s="262" t="n">
        <v>179</v>
      </c>
      <c r="E25" s="263" t="n">
        <v>9</v>
      </c>
    </row>
  </sheetData>
  <mergeCells count="8">
    <mergeCell ref="A1:E1"/>
    <mergeCell ref="A2:E2"/>
    <mergeCell ref="A3:E3"/>
    <mergeCell ref="A4:E4"/>
    <mergeCell ref="A6:A7"/>
    <mergeCell ref="B6:B7"/>
    <mergeCell ref="C6:C7"/>
    <mergeCell ref="D6:E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22"/>
  <sheetViews>
    <sheetView showFormulas="false" showGridLines="true" showRowColHeaders="true" showZeros="true" rightToLeft="false" tabSelected="false" showOutlineSymbols="true" defaultGridColor="true" view="pageBreakPreview" topLeftCell="A1" colorId="64" zoomScale="65" zoomScaleNormal="100" zoomScalePageLayoutView="65" workbookViewId="0">
      <selection pane="topLeft" activeCell="W5" activeCellId="0" sqref="W5"/>
    </sheetView>
  </sheetViews>
  <sheetFormatPr defaultColWidth="8.6796875" defaultRowHeight="12.75" zeroHeight="false" outlineLevelRow="0" outlineLevelCol="0"/>
  <cols>
    <col collapsed="false" customWidth="true" hidden="false" outlineLevel="0" max="1" min="1" style="0" width="14.71"/>
    <col collapsed="false" customWidth="true" hidden="false" outlineLevel="0" max="2" min="2" style="0" width="6.43"/>
    <col collapsed="false" customWidth="true" hidden="false" outlineLevel="0" max="3" min="3" style="0" width="4.71"/>
    <col collapsed="false" customWidth="true" hidden="false" outlineLevel="0" max="4" min="4" style="0" width="5.29"/>
    <col collapsed="false" customWidth="true" hidden="false" outlineLevel="0" max="8" min="5" style="0" width="4.86"/>
    <col collapsed="false" customWidth="true" hidden="false" outlineLevel="0" max="10" min="9" style="0" width="5.71"/>
    <col collapsed="false" customWidth="true" hidden="false" outlineLevel="0" max="12" min="11" style="0" width="4.86"/>
    <col collapsed="false" customWidth="true" hidden="false" outlineLevel="0" max="16" min="13" style="0" width="4.71"/>
    <col collapsed="false" customWidth="true" hidden="false" outlineLevel="0" max="18" min="17" style="0" width="5.71"/>
    <col collapsed="false" customWidth="true" hidden="false" outlineLevel="0" max="257" min="257" style="0" width="14.71"/>
    <col collapsed="false" customWidth="true" hidden="false" outlineLevel="0" max="258" min="258" style="0" width="6.43"/>
    <col collapsed="false" customWidth="true" hidden="false" outlineLevel="0" max="259" min="259" style="0" width="4.71"/>
    <col collapsed="false" customWidth="true" hidden="false" outlineLevel="0" max="260" min="260" style="0" width="5.29"/>
    <col collapsed="false" customWidth="true" hidden="false" outlineLevel="0" max="264" min="261" style="0" width="4.86"/>
    <col collapsed="false" customWidth="true" hidden="false" outlineLevel="0" max="266" min="265" style="0" width="5.71"/>
    <col collapsed="false" customWidth="true" hidden="false" outlineLevel="0" max="268" min="267" style="0" width="4.86"/>
    <col collapsed="false" customWidth="true" hidden="false" outlineLevel="0" max="272" min="269" style="0" width="4.71"/>
    <col collapsed="false" customWidth="true" hidden="false" outlineLevel="0" max="274" min="273" style="0" width="5.71"/>
    <col collapsed="false" customWidth="true" hidden="false" outlineLevel="0" max="513" min="513" style="0" width="14.71"/>
    <col collapsed="false" customWidth="true" hidden="false" outlineLevel="0" max="514" min="514" style="0" width="6.43"/>
    <col collapsed="false" customWidth="true" hidden="false" outlineLevel="0" max="515" min="515" style="0" width="4.71"/>
    <col collapsed="false" customWidth="true" hidden="false" outlineLevel="0" max="516" min="516" style="0" width="5.29"/>
    <col collapsed="false" customWidth="true" hidden="false" outlineLevel="0" max="520" min="517" style="0" width="4.86"/>
    <col collapsed="false" customWidth="true" hidden="false" outlineLevel="0" max="522" min="521" style="0" width="5.71"/>
    <col collapsed="false" customWidth="true" hidden="false" outlineLevel="0" max="524" min="523" style="0" width="4.86"/>
    <col collapsed="false" customWidth="true" hidden="false" outlineLevel="0" max="528" min="525" style="0" width="4.71"/>
    <col collapsed="false" customWidth="true" hidden="false" outlineLevel="0" max="530" min="529" style="0" width="5.71"/>
    <col collapsed="false" customWidth="true" hidden="false" outlineLevel="0" max="769" min="769" style="0" width="14.71"/>
    <col collapsed="false" customWidth="true" hidden="false" outlineLevel="0" max="770" min="770" style="0" width="6.43"/>
    <col collapsed="false" customWidth="true" hidden="false" outlineLevel="0" max="771" min="771" style="0" width="4.71"/>
    <col collapsed="false" customWidth="true" hidden="false" outlineLevel="0" max="772" min="772" style="0" width="5.29"/>
    <col collapsed="false" customWidth="true" hidden="false" outlineLevel="0" max="776" min="773" style="0" width="4.86"/>
    <col collapsed="false" customWidth="true" hidden="false" outlineLevel="0" max="778" min="777" style="0" width="5.71"/>
    <col collapsed="false" customWidth="true" hidden="false" outlineLevel="0" max="780" min="779" style="0" width="4.86"/>
    <col collapsed="false" customWidth="true" hidden="false" outlineLevel="0" max="784" min="781" style="0" width="4.71"/>
    <col collapsed="false" customWidth="true" hidden="false" outlineLevel="0" max="786" min="785" style="0" width="5.71"/>
    <col collapsed="false" customWidth="true" hidden="false" outlineLevel="0" max="1025" min="1025" style="0" width="14.71"/>
    <col collapsed="false" customWidth="true" hidden="false" outlineLevel="0" max="1026" min="1026" style="0" width="6.43"/>
    <col collapsed="false" customWidth="true" hidden="false" outlineLevel="0" max="1027" min="1027" style="0" width="4.71"/>
    <col collapsed="false" customWidth="true" hidden="false" outlineLevel="0" max="1028" min="1028" style="0" width="5.29"/>
    <col collapsed="false" customWidth="true" hidden="false" outlineLevel="0" max="1032" min="1029" style="0" width="4.86"/>
    <col collapsed="false" customWidth="true" hidden="false" outlineLevel="0" max="1034" min="1033" style="0" width="5.71"/>
    <col collapsed="false" customWidth="true" hidden="false" outlineLevel="0" max="1036" min="1035" style="0" width="4.86"/>
    <col collapsed="false" customWidth="true" hidden="false" outlineLevel="0" max="1040" min="1037" style="0" width="4.71"/>
    <col collapsed="false" customWidth="true" hidden="false" outlineLevel="0" max="1042" min="1041" style="0" width="5.71"/>
    <col collapsed="false" customWidth="true" hidden="false" outlineLevel="0" max="1281" min="1281" style="0" width="14.71"/>
    <col collapsed="false" customWidth="true" hidden="false" outlineLevel="0" max="1282" min="1282" style="0" width="6.43"/>
    <col collapsed="false" customWidth="true" hidden="false" outlineLevel="0" max="1283" min="1283" style="0" width="4.71"/>
    <col collapsed="false" customWidth="true" hidden="false" outlineLevel="0" max="1284" min="1284" style="0" width="5.29"/>
    <col collapsed="false" customWidth="true" hidden="false" outlineLevel="0" max="1288" min="1285" style="0" width="4.86"/>
    <col collapsed="false" customWidth="true" hidden="false" outlineLevel="0" max="1290" min="1289" style="0" width="5.71"/>
    <col collapsed="false" customWidth="true" hidden="false" outlineLevel="0" max="1292" min="1291" style="0" width="4.86"/>
    <col collapsed="false" customWidth="true" hidden="false" outlineLevel="0" max="1296" min="1293" style="0" width="4.71"/>
    <col collapsed="false" customWidth="true" hidden="false" outlineLevel="0" max="1298" min="1297" style="0" width="5.71"/>
    <col collapsed="false" customWidth="true" hidden="false" outlineLevel="0" max="1537" min="1537" style="0" width="14.71"/>
    <col collapsed="false" customWidth="true" hidden="false" outlineLevel="0" max="1538" min="1538" style="0" width="6.43"/>
    <col collapsed="false" customWidth="true" hidden="false" outlineLevel="0" max="1539" min="1539" style="0" width="4.71"/>
    <col collapsed="false" customWidth="true" hidden="false" outlineLevel="0" max="1540" min="1540" style="0" width="5.29"/>
    <col collapsed="false" customWidth="true" hidden="false" outlineLevel="0" max="1544" min="1541" style="0" width="4.86"/>
    <col collapsed="false" customWidth="true" hidden="false" outlineLevel="0" max="1546" min="1545" style="0" width="5.71"/>
    <col collapsed="false" customWidth="true" hidden="false" outlineLevel="0" max="1548" min="1547" style="0" width="4.86"/>
    <col collapsed="false" customWidth="true" hidden="false" outlineLevel="0" max="1552" min="1549" style="0" width="4.71"/>
    <col collapsed="false" customWidth="true" hidden="false" outlineLevel="0" max="1554" min="1553" style="0" width="5.71"/>
    <col collapsed="false" customWidth="true" hidden="false" outlineLevel="0" max="1793" min="1793" style="0" width="14.71"/>
    <col collapsed="false" customWidth="true" hidden="false" outlineLevel="0" max="1794" min="1794" style="0" width="6.43"/>
    <col collapsed="false" customWidth="true" hidden="false" outlineLevel="0" max="1795" min="1795" style="0" width="4.71"/>
    <col collapsed="false" customWidth="true" hidden="false" outlineLevel="0" max="1796" min="1796" style="0" width="5.29"/>
    <col collapsed="false" customWidth="true" hidden="false" outlineLevel="0" max="1800" min="1797" style="0" width="4.86"/>
    <col collapsed="false" customWidth="true" hidden="false" outlineLevel="0" max="1802" min="1801" style="0" width="5.71"/>
    <col collapsed="false" customWidth="true" hidden="false" outlineLevel="0" max="1804" min="1803" style="0" width="4.86"/>
    <col collapsed="false" customWidth="true" hidden="false" outlineLevel="0" max="1808" min="1805" style="0" width="4.71"/>
    <col collapsed="false" customWidth="true" hidden="false" outlineLevel="0" max="1810" min="1809" style="0" width="5.71"/>
    <col collapsed="false" customWidth="true" hidden="false" outlineLevel="0" max="2049" min="2049" style="0" width="14.71"/>
    <col collapsed="false" customWidth="true" hidden="false" outlineLevel="0" max="2050" min="2050" style="0" width="6.43"/>
    <col collapsed="false" customWidth="true" hidden="false" outlineLevel="0" max="2051" min="2051" style="0" width="4.71"/>
    <col collapsed="false" customWidth="true" hidden="false" outlineLevel="0" max="2052" min="2052" style="0" width="5.29"/>
    <col collapsed="false" customWidth="true" hidden="false" outlineLevel="0" max="2056" min="2053" style="0" width="4.86"/>
    <col collapsed="false" customWidth="true" hidden="false" outlineLevel="0" max="2058" min="2057" style="0" width="5.71"/>
    <col collapsed="false" customWidth="true" hidden="false" outlineLevel="0" max="2060" min="2059" style="0" width="4.86"/>
    <col collapsed="false" customWidth="true" hidden="false" outlineLevel="0" max="2064" min="2061" style="0" width="4.71"/>
    <col collapsed="false" customWidth="true" hidden="false" outlineLevel="0" max="2066" min="2065" style="0" width="5.71"/>
    <col collapsed="false" customWidth="true" hidden="false" outlineLevel="0" max="2305" min="2305" style="0" width="14.71"/>
    <col collapsed="false" customWidth="true" hidden="false" outlineLevel="0" max="2306" min="2306" style="0" width="6.43"/>
    <col collapsed="false" customWidth="true" hidden="false" outlineLevel="0" max="2307" min="2307" style="0" width="4.71"/>
    <col collapsed="false" customWidth="true" hidden="false" outlineLevel="0" max="2308" min="2308" style="0" width="5.29"/>
    <col collapsed="false" customWidth="true" hidden="false" outlineLevel="0" max="2312" min="2309" style="0" width="4.86"/>
    <col collapsed="false" customWidth="true" hidden="false" outlineLevel="0" max="2314" min="2313" style="0" width="5.71"/>
    <col collapsed="false" customWidth="true" hidden="false" outlineLevel="0" max="2316" min="2315" style="0" width="4.86"/>
    <col collapsed="false" customWidth="true" hidden="false" outlineLevel="0" max="2320" min="2317" style="0" width="4.71"/>
    <col collapsed="false" customWidth="true" hidden="false" outlineLevel="0" max="2322" min="2321" style="0" width="5.71"/>
    <col collapsed="false" customWidth="true" hidden="false" outlineLevel="0" max="2561" min="2561" style="0" width="14.71"/>
    <col collapsed="false" customWidth="true" hidden="false" outlineLevel="0" max="2562" min="2562" style="0" width="6.43"/>
    <col collapsed="false" customWidth="true" hidden="false" outlineLevel="0" max="2563" min="2563" style="0" width="4.71"/>
    <col collapsed="false" customWidth="true" hidden="false" outlineLevel="0" max="2564" min="2564" style="0" width="5.29"/>
    <col collapsed="false" customWidth="true" hidden="false" outlineLevel="0" max="2568" min="2565" style="0" width="4.86"/>
    <col collapsed="false" customWidth="true" hidden="false" outlineLevel="0" max="2570" min="2569" style="0" width="5.71"/>
    <col collapsed="false" customWidth="true" hidden="false" outlineLevel="0" max="2572" min="2571" style="0" width="4.86"/>
    <col collapsed="false" customWidth="true" hidden="false" outlineLevel="0" max="2576" min="2573" style="0" width="4.71"/>
    <col collapsed="false" customWidth="true" hidden="false" outlineLevel="0" max="2578" min="2577" style="0" width="5.71"/>
    <col collapsed="false" customWidth="true" hidden="false" outlineLevel="0" max="2817" min="2817" style="0" width="14.71"/>
    <col collapsed="false" customWidth="true" hidden="false" outlineLevel="0" max="2818" min="2818" style="0" width="6.43"/>
    <col collapsed="false" customWidth="true" hidden="false" outlineLevel="0" max="2819" min="2819" style="0" width="4.71"/>
    <col collapsed="false" customWidth="true" hidden="false" outlineLevel="0" max="2820" min="2820" style="0" width="5.29"/>
    <col collapsed="false" customWidth="true" hidden="false" outlineLevel="0" max="2824" min="2821" style="0" width="4.86"/>
    <col collapsed="false" customWidth="true" hidden="false" outlineLevel="0" max="2826" min="2825" style="0" width="5.71"/>
    <col collapsed="false" customWidth="true" hidden="false" outlineLevel="0" max="2828" min="2827" style="0" width="4.86"/>
    <col collapsed="false" customWidth="true" hidden="false" outlineLevel="0" max="2832" min="2829" style="0" width="4.71"/>
    <col collapsed="false" customWidth="true" hidden="false" outlineLevel="0" max="2834" min="2833" style="0" width="5.71"/>
    <col collapsed="false" customWidth="true" hidden="false" outlineLevel="0" max="3073" min="3073" style="0" width="14.71"/>
    <col collapsed="false" customWidth="true" hidden="false" outlineLevel="0" max="3074" min="3074" style="0" width="6.43"/>
    <col collapsed="false" customWidth="true" hidden="false" outlineLevel="0" max="3075" min="3075" style="0" width="4.71"/>
    <col collapsed="false" customWidth="true" hidden="false" outlineLevel="0" max="3076" min="3076" style="0" width="5.29"/>
    <col collapsed="false" customWidth="true" hidden="false" outlineLevel="0" max="3080" min="3077" style="0" width="4.86"/>
    <col collapsed="false" customWidth="true" hidden="false" outlineLevel="0" max="3082" min="3081" style="0" width="5.71"/>
    <col collapsed="false" customWidth="true" hidden="false" outlineLevel="0" max="3084" min="3083" style="0" width="4.86"/>
    <col collapsed="false" customWidth="true" hidden="false" outlineLevel="0" max="3088" min="3085" style="0" width="4.71"/>
    <col collapsed="false" customWidth="true" hidden="false" outlineLevel="0" max="3090" min="3089" style="0" width="5.71"/>
    <col collapsed="false" customWidth="true" hidden="false" outlineLevel="0" max="3329" min="3329" style="0" width="14.71"/>
    <col collapsed="false" customWidth="true" hidden="false" outlineLevel="0" max="3330" min="3330" style="0" width="6.43"/>
    <col collapsed="false" customWidth="true" hidden="false" outlineLevel="0" max="3331" min="3331" style="0" width="4.71"/>
    <col collapsed="false" customWidth="true" hidden="false" outlineLevel="0" max="3332" min="3332" style="0" width="5.29"/>
    <col collapsed="false" customWidth="true" hidden="false" outlineLevel="0" max="3336" min="3333" style="0" width="4.86"/>
    <col collapsed="false" customWidth="true" hidden="false" outlineLevel="0" max="3338" min="3337" style="0" width="5.71"/>
    <col collapsed="false" customWidth="true" hidden="false" outlineLevel="0" max="3340" min="3339" style="0" width="4.86"/>
    <col collapsed="false" customWidth="true" hidden="false" outlineLevel="0" max="3344" min="3341" style="0" width="4.71"/>
    <col collapsed="false" customWidth="true" hidden="false" outlineLevel="0" max="3346" min="3345" style="0" width="5.71"/>
    <col collapsed="false" customWidth="true" hidden="false" outlineLevel="0" max="3585" min="3585" style="0" width="14.71"/>
    <col collapsed="false" customWidth="true" hidden="false" outlineLevel="0" max="3586" min="3586" style="0" width="6.43"/>
    <col collapsed="false" customWidth="true" hidden="false" outlineLevel="0" max="3587" min="3587" style="0" width="4.71"/>
    <col collapsed="false" customWidth="true" hidden="false" outlineLevel="0" max="3588" min="3588" style="0" width="5.29"/>
    <col collapsed="false" customWidth="true" hidden="false" outlineLevel="0" max="3592" min="3589" style="0" width="4.86"/>
    <col collapsed="false" customWidth="true" hidden="false" outlineLevel="0" max="3594" min="3593" style="0" width="5.71"/>
    <col collapsed="false" customWidth="true" hidden="false" outlineLevel="0" max="3596" min="3595" style="0" width="4.86"/>
    <col collapsed="false" customWidth="true" hidden="false" outlineLevel="0" max="3600" min="3597" style="0" width="4.71"/>
    <col collapsed="false" customWidth="true" hidden="false" outlineLevel="0" max="3602" min="3601" style="0" width="5.71"/>
    <col collapsed="false" customWidth="true" hidden="false" outlineLevel="0" max="3841" min="3841" style="0" width="14.71"/>
    <col collapsed="false" customWidth="true" hidden="false" outlineLevel="0" max="3842" min="3842" style="0" width="6.43"/>
    <col collapsed="false" customWidth="true" hidden="false" outlineLevel="0" max="3843" min="3843" style="0" width="4.71"/>
    <col collapsed="false" customWidth="true" hidden="false" outlineLevel="0" max="3844" min="3844" style="0" width="5.29"/>
    <col collapsed="false" customWidth="true" hidden="false" outlineLevel="0" max="3848" min="3845" style="0" width="4.86"/>
    <col collapsed="false" customWidth="true" hidden="false" outlineLevel="0" max="3850" min="3849" style="0" width="5.71"/>
    <col collapsed="false" customWidth="true" hidden="false" outlineLevel="0" max="3852" min="3851" style="0" width="4.86"/>
    <col collapsed="false" customWidth="true" hidden="false" outlineLevel="0" max="3856" min="3853" style="0" width="4.71"/>
    <col collapsed="false" customWidth="true" hidden="false" outlineLevel="0" max="3858" min="3857" style="0" width="5.71"/>
    <col collapsed="false" customWidth="true" hidden="false" outlineLevel="0" max="4097" min="4097" style="0" width="14.71"/>
    <col collapsed="false" customWidth="true" hidden="false" outlineLevel="0" max="4098" min="4098" style="0" width="6.43"/>
    <col collapsed="false" customWidth="true" hidden="false" outlineLevel="0" max="4099" min="4099" style="0" width="4.71"/>
    <col collapsed="false" customWidth="true" hidden="false" outlineLevel="0" max="4100" min="4100" style="0" width="5.29"/>
    <col collapsed="false" customWidth="true" hidden="false" outlineLevel="0" max="4104" min="4101" style="0" width="4.86"/>
    <col collapsed="false" customWidth="true" hidden="false" outlineLevel="0" max="4106" min="4105" style="0" width="5.71"/>
    <col collapsed="false" customWidth="true" hidden="false" outlineLevel="0" max="4108" min="4107" style="0" width="4.86"/>
    <col collapsed="false" customWidth="true" hidden="false" outlineLevel="0" max="4112" min="4109" style="0" width="4.71"/>
    <col collapsed="false" customWidth="true" hidden="false" outlineLevel="0" max="4114" min="4113" style="0" width="5.71"/>
    <col collapsed="false" customWidth="true" hidden="false" outlineLevel="0" max="4353" min="4353" style="0" width="14.71"/>
    <col collapsed="false" customWidth="true" hidden="false" outlineLevel="0" max="4354" min="4354" style="0" width="6.43"/>
    <col collapsed="false" customWidth="true" hidden="false" outlineLevel="0" max="4355" min="4355" style="0" width="4.71"/>
    <col collapsed="false" customWidth="true" hidden="false" outlineLevel="0" max="4356" min="4356" style="0" width="5.29"/>
    <col collapsed="false" customWidth="true" hidden="false" outlineLevel="0" max="4360" min="4357" style="0" width="4.86"/>
    <col collapsed="false" customWidth="true" hidden="false" outlineLevel="0" max="4362" min="4361" style="0" width="5.71"/>
    <col collapsed="false" customWidth="true" hidden="false" outlineLevel="0" max="4364" min="4363" style="0" width="4.86"/>
    <col collapsed="false" customWidth="true" hidden="false" outlineLevel="0" max="4368" min="4365" style="0" width="4.71"/>
    <col collapsed="false" customWidth="true" hidden="false" outlineLevel="0" max="4370" min="4369" style="0" width="5.71"/>
    <col collapsed="false" customWidth="true" hidden="false" outlineLevel="0" max="4609" min="4609" style="0" width="14.71"/>
    <col collapsed="false" customWidth="true" hidden="false" outlineLevel="0" max="4610" min="4610" style="0" width="6.43"/>
    <col collapsed="false" customWidth="true" hidden="false" outlineLevel="0" max="4611" min="4611" style="0" width="4.71"/>
    <col collapsed="false" customWidth="true" hidden="false" outlineLevel="0" max="4612" min="4612" style="0" width="5.29"/>
    <col collapsed="false" customWidth="true" hidden="false" outlineLevel="0" max="4616" min="4613" style="0" width="4.86"/>
    <col collapsed="false" customWidth="true" hidden="false" outlineLevel="0" max="4618" min="4617" style="0" width="5.71"/>
    <col collapsed="false" customWidth="true" hidden="false" outlineLevel="0" max="4620" min="4619" style="0" width="4.86"/>
    <col collapsed="false" customWidth="true" hidden="false" outlineLevel="0" max="4624" min="4621" style="0" width="4.71"/>
    <col collapsed="false" customWidth="true" hidden="false" outlineLevel="0" max="4626" min="4625" style="0" width="5.71"/>
    <col collapsed="false" customWidth="true" hidden="false" outlineLevel="0" max="4865" min="4865" style="0" width="14.71"/>
    <col collapsed="false" customWidth="true" hidden="false" outlineLevel="0" max="4866" min="4866" style="0" width="6.43"/>
    <col collapsed="false" customWidth="true" hidden="false" outlineLevel="0" max="4867" min="4867" style="0" width="4.71"/>
    <col collapsed="false" customWidth="true" hidden="false" outlineLevel="0" max="4868" min="4868" style="0" width="5.29"/>
    <col collapsed="false" customWidth="true" hidden="false" outlineLevel="0" max="4872" min="4869" style="0" width="4.86"/>
    <col collapsed="false" customWidth="true" hidden="false" outlineLevel="0" max="4874" min="4873" style="0" width="5.71"/>
    <col collapsed="false" customWidth="true" hidden="false" outlineLevel="0" max="4876" min="4875" style="0" width="4.86"/>
    <col collapsed="false" customWidth="true" hidden="false" outlineLevel="0" max="4880" min="4877" style="0" width="4.71"/>
    <col collapsed="false" customWidth="true" hidden="false" outlineLevel="0" max="4882" min="4881" style="0" width="5.71"/>
    <col collapsed="false" customWidth="true" hidden="false" outlineLevel="0" max="5121" min="5121" style="0" width="14.71"/>
    <col collapsed="false" customWidth="true" hidden="false" outlineLevel="0" max="5122" min="5122" style="0" width="6.43"/>
    <col collapsed="false" customWidth="true" hidden="false" outlineLevel="0" max="5123" min="5123" style="0" width="4.71"/>
    <col collapsed="false" customWidth="true" hidden="false" outlineLevel="0" max="5124" min="5124" style="0" width="5.29"/>
    <col collapsed="false" customWidth="true" hidden="false" outlineLevel="0" max="5128" min="5125" style="0" width="4.86"/>
    <col collapsed="false" customWidth="true" hidden="false" outlineLevel="0" max="5130" min="5129" style="0" width="5.71"/>
    <col collapsed="false" customWidth="true" hidden="false" outlineLevel="0" max="5132" min="5131" style="0" width="4.86"/>
    <col collapsed="false" customWidth="true" hidden="false" outlineLevel="0" max="5136" min="5133" style="0" width="4.71"/>
    <col collapsed="false" customWidth="true" hidden="false" outlineLevel="0" max="5138" min="5137" style="0" width="5.71"/>
    <col collapsed="false" customWidth="true" hidden="false" outlineLevel="0" max="5377" min="5377" style="0" width="14.71"/>
    <col collapsed="false" customWidth="true" hidden="false" outlineLevel="0" max="5378" min="5378" style="0" width="6.43"/>
    <col collapsed="false" customWidth="true" hidden="false" outlineLevel="0" max="5379" min="5379" style="0" width="4.71"/>
    <col collapsed="false" customWidth="true" hidden="false" outlineLevel="0" max="5380" min="5380" style="0" width="5.29"/>
    <col collapsed="false" customWidth="true" hidden="false" outlineLevel="0" max="5384" min="5381" style="0" width="4.86"/>
    <col collapsed="false" customWidth="true" hidden="false" outlineLevel="0" max="5386" min="5385" style="0" width="5.71"/>
    <col collapsed="false" customWidth="true" hidden="false" outlineLevel="0" max="5388" min="5387" style="0" width="4.86"/>
    <col collapsed="false" customWidth="true" hidden="false" outlineLevel="0" max="5392" min="5389" style="0" width="4.71"/>
    <col collapsed="false" customWidth="true" hidden="false" outlineLevel="0" max="5394" min="5393" style="0" width="5.71"/>
    <col collapsed="false" customWidth="true" hidden="false" outlineLevel="0" max="5633" min="5633" style="0" width="14.71"/>
    <col collapsed="false" customWidth="true" hidden="false" outlineLevel="0" max="5634" min="5634" style="0" width="6.43"/>
    <col collapsed="false" customWidth="true" hidden="false" outlineLevel="0" max="5635" min="5635" style="0" width="4.71"/>
    <col collapsed="false" customWidth="true" hidden="false" outlineLevel="0" max="5636" min="5636" style="0" width="5.29"/>
    <col collapsed="false" customWidth="true" hidden="false" outlineLevel="0" max="5640" min="5637" style="0" width="4.86"/>
    <col collapsed="false" customWidth="true" hidden="false" outlineLevel="0" max="5642" min="5641" style="0" width="5.71"/>
    <col collapsed="false" customWidth="true" hidden="false" outlineLevel="0" max="5644" min="5643" style="0" width="4.86"/>
    <col collapsed="false" customWidth="true" hidden="false" outlineLevel="0" max="5648" min="5645" style="0" width="4.71"/>
    <col collapsed="false" customWidth="true" hidden="false" outlineLevel="0" max="5650" min="5649" style="0" width="5.71"/>
    <col collapsed="false" customWidth="true" hidden="false" outlineLevel="0" max="5889" min="5889" style="0" width="14.71"/>
    <col collapsed="false" customWidth="true" hidden="false" outlineLevel="0" max="5890" min="5890" style="0" width="6.43"/>
    <col collapsed="false" customWidth="true" hidden="false" outlineLevel="0" max="5891" min="5891" style="0" width="4.71"/>
    <col collapsed="false" customWidth="true" hidden="false" outlineLevel="0" max="5892" min="5892" style="0" width="5.29"/>
    <col collapsed="false" customWidth="true" hidden="false" outlineLevel="0" max="5896" min="5893" style="0" width="4.86"/>
    <col collapsed="false" customWidth="true" hidden="false" outlineLevel="0" max="5898" min="5897" style="0" width="5.71"/>
    <col collapsed="false" customWidth="true" hidden="false" outlineLevel="0" max="5900" min="5899" style="0" width="4.86"/>
    <col collapsed="false" customWidth="true" hidden="false" outlineLevel="0" max="5904" min="5901" style="0" width="4.71"/>
    <col collapsed="false" customWidth="true" hidden="false" outlineLevel="0" max="5906" min="5905" style="0" width="5.71"/>
    <col collapsed="false" customWidth="true" hidden="false" outlineLevel="0" max="6145" min="6145" style="0" width="14.71"/>
    <col collapsed="false" customWidth="true" hidden="false" outlineLevel="0" max="6146" min="6146" style="0" width="6.43"/>
    <col collapsed="false" customWidth="true" hidden="false" outlineLevel="0" max="6147" min="6147" style="0" width="4.71"/>
    <col collapsed="false" customWidth="true" hidden="false" outlineLevel="0" max="6148" min="6148" style="0" width="5.29"/>
    <col collapsed="false" customWidth="true" hidden="false" outlineLevel="0" max="6152" min="6149" style="0" width="4.86"/>
    <col collapsed="false" customWidth="true" hidden="false" outlineLevel="0" max="6154" min="6153" style="0" width="5.71"/>
    <col collapsed="false" customWidth="true" hidden="false" outlineLevel="0" max="6156" min="6155" style="0" width="4.86"/>
    <col collapsed="false" customWidth="true" hidden="false" outlineLevel="0" max="6160" min="6157" style="0" width="4.71"/>
    <col collapsed="false" customWidth="true" hidden="false" outlineLevel="0" max="6162" min="6161" style="0" width="5.71"/>
    <col collapsed="false" customWidth="true" hidden="false" outlineLevel="0" max="6401" min="6401" style="0" width="14.71"/>
    <col collapsed="false" customWidth="true" hidden="false" outlineLevel="0" max="6402" min="6402" style="0" width="6.43"/>
    <col collapsed="false" customWidth="true" hidden="false" outlineLevel="0" max="6403" min="6403" style="0" width="4.71"/>
    <col collapsed="false" customWidth="true" hidden="false" outlineLevel="0" max="6404" min="6404" style="0" width="5.29"/>
    <col collapsed="false" customWidth="true" hidden="false" outlineLevel="0" max="6408" min="6405" style="0" width="4.86"/>
    <col collapsed="false" customWidth="true" hidden="false" outlineLevel="0" max="6410" min="6409" style="0" width="5.71"/>
    <col collapsed="false" customWidth="true" hidden="false" outlineLevel="0" max="6412" min="6411" style="0" width="4.86"/>
    <col collapsed="false" customWidth="true" hidden="false" outlineLevel="0" max="6416" min="6413" style="0" width="4.71"/>
    <col collapsed="false" customWidth="true" hidden="false" outlineLevel="0" max="6418" min="6417" style="0" width="5.71"/>
    <col collapsed="false" customWidth="true" hidden="false" outlineLevel="0" max="6657" min="6657" style="0" width="14.71"/>
    <col collapsed="false" customWidth="true" hidden="false" outlineLevel="0" max="6658" min="6658" style="0" width="6.43"/>
    <col collapsed="false" customWidth="true" hidden="false" outlineLevel="0" max="6659" min="6659" style="0" width="4.71"/>
    <col collapsed="false" customWidth="true" hidden="false" outlineLevel="0" max="6660" min="6660" style="0" width="5.29"/>
    <col collapsed="false" customWidth="true" hidden="false" outlineLevel="0" max="6664" min="6661" style="0" width="4.86"/>
    <col collapsed="false" customWidth="true" hidden="false" outlineLevel="0" max="6666" min="6665" style="0" width="5.71"/>
    <col collapsed="false" customWidth="true" hidden="false" outlineLevel="0" max="6668" min="6667" style="0" width="4.86"/>
    <col collapsed="false" customWidth="true" hidden="false" outlineLevel="0" max="6672" min="6669" style="0" width="4.71"/>
    <col collapsed="false" customWidth="true" hidden="false" outlineLevel="0" max="6674" min="6673" style="0" width="5.71"/>
    <col collapsed="false" customWidth="true" hidden="false" outlineLevel="0" max="6913" min="6913" style="0" width="14.71"/>
    <col collapsed="false" customWidth="true" hidden="false" outlineLevel="0" max="6914" min="6914" style="0" width="6.43"/>
    <col collapsed="false" customWidth="true" hidden="false" outlineLevel="0" max="6915" min="6915" style="0" width="4.71"/>
    <col collapsed="false" customWidth="true" hidden="false" outlineLevel="0" max="6916" min="6916" style="0" width="5.29"/>
    <col collapsed="false" customWidth="true" hidden="false" outlineLevel="0" max="6920" min="6917" style="0" width="4.86"/>
    <col collapsed="false" customWidth="true" hidden="false" outlineLevel="0" max="6922" min="6921" style="0" width="5.71"/>
    <col collapsed="false" customWidth="true" hidden="false" outlineLevel="0" max="6924" min="6923" style="0" width="4.86"/>
    <col collapsed="false" customWidth="true" hidden="false" outlineLevel="0" max="6928" min="6925" style="0" width="4.71"/>
    <col collapsed="false" customWidth="true" hidden="false" outlineLevel="0" max="6930" min="6929" style="0" width="5.71"/>
    <col collapsed="false" customWidth="true" hidden="false" outlineLevel="0" max="7169" min="7169" style="0" width="14.71"/>
    <col collapsed="false" customWidth="true" hidden="false" outlineLevel="0" max="7170" min="7170" style="0" width="6.43"/>
    <col collapsed="false" customWidth="true" hidden="false" outlineLevel="0" max="7171" min="7171" style="0" width="4.71"/>
    <col collapsed="false" customWidth="true" hidden="false" outlineLevel="0" max="7172" min="7172" style="0" width="5.29"/>
    <col collapsed="false" customWidth="true" hidden="false" outlineLevel="0" max="7176" min="7173" style="0" width="4.86"/>
    <col collapsed="false" customWidth="true" hidden="false" outlineLevel="0" max="7178" min="7177" style="0" width="5.71"/>
    <col collapsed="false" customWidth="true" hidden="false" outlineLevel="0" max="7180" min="7179" style="0" width="4.86"/>
    <col collapsed="false" customWidth="true" hidden="false" outlineLevel="0" max="7184" min="7181" style="0" width="4.71"/>
    <col collapsed="false" customWidth="true" hidden="false" outlineLevel="0" max="7186" min="7185" style="0" width="5.71"/>
    <col collapsed="false" customWidth="true" hidden="false" outlineLevel="0" max="7425" min="7425" style="0" width="14.71"/>
    <col collapsed="false" customWidth="true" hidden="false" outlineLevel="0" max="7426" min="7426" style="0" width="6.43"/>
    <col collapsed="false" customWidth="true" hidden="false" outlineLevel="0" max="7427" min="7427" style="0" width="4.71"/>
    <col collapsed="false" customWidth="true" hidden="false" outlineLevel="0" max="7428" min="7428" style="0" width="5.29"/>
    <col collapsed="false" customWidth="true" hidden="false" outlineLevel="0" max="7432" min="7429" style="0" width="4.86"/>
    <col collapsed="false" customWidth="true" hidden="false" outlineLevel="0" max="7434" min="7433" style="0" width="5.71"/>
    <col collapsed="false" customWidth="true" hidden="false" outlineLevel="0" max="7436" min="7435" style="0" width="4.86"/>
    <col collapsed="false" customWidth="true" hidden="false" outlineLevel="0" max="7440" min="7437" style="0" width="4.71"/>
    <col collapsed="false" customWidth="true" hidden="false" outlineLevel="0" max="7442" min="7441" style="0" width="5.71"/>
    <col collapsed="false" customWidth="true" hidden="false" outlineLevel="0" max="7681" min="7681" style="0" width="14.71"/>
    <col collapsed="false" customWidth="true" hidden="false" outlineLevel="0" max="7682" min="7682" style="0" width="6.43"/>
    <col collapsed="false" customWidth="true" hidden="false" outlineLevel="0" max="7683" min="7683" style="0" width="4.71"/>
    <col collapsed="false" customWidth="true" hidden="false" outlineLevel="0" max="7684" min="7684" style="0" width="5.29"/>
    <col collapsed="false" customWidth="true" hidden="false" outlineLevel="0" max="7688" min="7685" style="0" width="4.86"/>
    <col collapsed="false" customWidth="true" hidden="false" outlineLevel="0" max="7690" min="7689" style="0" width="5.71"/>
    <col collapsed="false" customWidth="true" hidden="false" outlineLevel="0" max="7692" min="7691" style="0" width="4.86"/>
    <col collapsed="false" customWidth="true" hidden="false" outlineLevel="0" max="7696" min="7693" style="0" width="4.71"/>
    <col collapsed="false" customWidth="true" hidden="false" outlineLevel="0" max="7698" min="7697" style="0" width="5.71"/>
    <col collapsed="false" customWidth="true" hidden="false" outlineLevel="0" max="7937" min="7937" style="0" width="14.71"/>
    <col collapsed="false" customWidth="true" hidden="false" outlineLevel="0" max="7938" min="7938" style="0" width="6.43"/>
    <col collapsed="false" customWidth="true" hidden="false" outlineLevel="0" max="7939" min="7939" style="0" width="4.71"/>
    <col collapsed="false" customWidth="true" hidden="false" outlineLevel="0" max="7940" min="7940" style="0" width="5.29"/>
    <col collapsed="false" customWidth="true" hidden="false" outlineLevel="0" max="7944" min="7941" style="0" width="4.86"/>
    <col collapsed="false" customWidth="true" hidden="false" outlineLevel="0" max="7946" min="7945" style="0" width="5.71"/>
    <col collapsed="false" customWidth="true" hidden="false" outlineLevel="0" max="7948" min="7947" style="0" width="4.86"/>
    <col collapsed="false" customWidth="true" hidden="false" outlineLevel="0" max="7952" min="7949" style="0" width="4.71"/>
    <col collapsed="false" customWidth="true" hidden="false" outlineLevel="0" max="7954" min="7953" style="0" width="5.71"/>
    <col collapsed="false" customWidth="true" hidden="false" outlineLevel="0" max="8193" min="8193" style="0" width="14.71"/>
    <col collapsed="false" customWidth="true" hidden="false" outlineLevel="0" max="8194" min="8194" style="0" width="6.43"/>
    <col collapsed="false" customWidth="true" hidden="false" outlineLevel="0" max="8195" min="8195" style="0" width="4.71"/>
    <col collapsed="false" customWidth="true" hidden="false" outlineLevel="0" max="8196" min="8196" style="0" width="5.29"/>
    <col collapsed="false" customWidth="true" hidden="false" outlineLevel="0" max="8200" min="8197" style="0" width="4.86"/>
    <col collapsed="false" customWidth="true" hidden="false" outlineLevel="0" max="8202" min="8201" style="0" width="5.71"/>
    <col collapsed="false" customWidth="true" hidden="false" outlineLevel="0" max="8204" min="8203" style="0" width="4.86"/>
    <col collapsed="false" customWidth="true" hidden="false" outlineLevel="0" max="8208" min="8205" style="0" width="4.71"/>
    <col collapsed="false" customWidth="true" hidden="false" outlineLevel="0" max="8210" min="8209" style="0" width="5.71"/>
    <col collapsed="false" customWidth="true" hidden="false" outlineLevel="0" max="8449" min="8449" style="0" width="14.71"/>
    <col collapsed="false" customWidth="true" hidden="false" outlineLevel="0" max="8450" min="8450" style="0" width="6.43"/>
    <col collapsed="false" customWidth="true" hidden="false" outlineLevel="0" max="8451" min="8451" style="0" width="4.71"/>
    <col collapsed="false" customWidth="true" hidden="false" outlineLevel="0" max="8452" min="8452" style="0" width="5.29"/>
    <col collapsed="false" customWidth="true" hidden="false" outlineLevel="0" max="8456" min="8453" style="0" width="4.86"/>
    <col collapsed="false" customWidth="true" hidden="false" outlineLevel="0" max="8458" min="8457" style="0" width="5.71"/>
    <col collapsed="false" customWidth="true" hidden="false" outlineLevel="0" max="8460" min="8459" style="0" width="4.86"/>
    <col collapsed="false" customWidth="true" hidden="false" outlineLevel="0" max="8464" min="8461" style="0" width="4.71"/>
    <col collapsed="false" customWidth="true" hidden="false" outlineLevel="0" max="8466" min="8465" style="0" width="5.71"/>
    <col collapsed="false" customWidth="true" hidden="false" outlineLevel="0" max="8705" min="8705" style="0" width="14.71"/>
    <col collapsed="false" customWidth="true" hidden="false" outlineLevel="0" max="8706" min="8706" style="0" width="6.43"/>
    <col collapsed="false" customWidth="true" hidden="false" outlineLevel="0" max="8707" min="8707" style="0" width="4.71"/>
    <col collapsed="false" customWidth="true" hidden="false" outlineLevel="0" max="8708" min="8708" style="0" width="5.29"/>
    <col collapsed="false" customWidth="true" hidden="false" outlineLevel="0" max="8712" min="8709" style="0" width="4.86"/>
    <col collapsed="false" customWidth="true" hidden="false" outlineLevel="0" max="8714" min="8713" style="0" width="5.71"/>
    <col collapsed="false" customWidth="true" hidden="false" outlineLevel="0" max="8716" min="8715" style="0" width="4.86"/>
    <col collapsed="false" customWidth="true" hidden="false" outlineLevel="0" max="8720" min="8717" style="0" width="4.71"/>
    <col collapsed="false" customWidth="true" hidden="false" outlineLevel="0" max="8722" min="8721" style="0" width="5.71"/>
    <col collapsed="false" customWidth="true" hidden="false" outlineLevel="0" max="8961" min="8961" style="0" width="14.71"/>
    <col collapsed="false" customWidth="true" hidden="false" outlineLevel="0" max="8962" min="8962" style="0" width="6.43"/>
    <col collapsed="false" customWidth="true" hidden="false" outlineLevel="0" max="8963" min="8963" style="0" width="4.71"/>
    <col collapsed="false" customWidth="true" hidden="false" outlineLevel="0" max="8964" min="8964" style="0" width="5.29"/>
    <col collapsed="false" customWidth="true" hidden="false" outlineLevel="0" max="8968" min="8965" style="0" width="4.86"/>
    <col collapsed="false" customWidth="true" hidden="false" outlineLevel="0" max="8970" min="8969" style="0" width="5.71"/>
    <col collapsed="false" customWidth="true" hidden="false" outlineLevel="0" max="8972" min="8971" style="0" width="4.86"/>
    <col collapsed="false" customWidth="true" hidden="false" outlineLevel="0" max="8976" min="8973" style="0" width="4.71"/>
    <col collapsed="false" customWidth="true" hidden="false" outlineLevel="0" max="8978" min="8977" style="0" width="5.71"/>
    <col collapsed="false" customWidth="true" hidden="false" outlineLevel="0" max="9217" min="9217" style="0" width="14.71"/>
    <col collapsed="false" customWidth="true" hidden="false" outlineLevel="0" max="9218" min="9218" style="0" width="6.43"/>
    <col collapsed="false" customWidth="true" hidden="false" outlineLevel="0" max="9219" min="9219" style="0" width="4.71"/>
    <col collapsed="false" customWidth="true" hidden="false" outlineLevel="0" max="9220" min="9220" style="0" width="5.29"/>
    <col collapsed="false" customWidth="true" hidden="false" outlineLevel="0" max="9224" min="9221" style="0" width="4.86"/>
    <col collapsed="false" customWidth="true" hidden="false" outlineLevel="0" max="9226" min="9225" style="0" width="5.71"/>
    <col collapsed="false" customWidth="true" hidden="false" outlineLevel="0" max="9228" min="9227" style="0" width="4.86"/>
    <col collapsed="false" customWidth="true" hidden="false" outlineLevel="0" max="9232" min="9229" style="0" width="4.71"/>
    <col collapsed="false" customWidth="true" hidden="false" outlineLevel="0" max="9234" min="9233" style="0" width="5.71"/>
    <col collapsed="false" customWidth="true" hidden="false" outlineLevel="0" max="9473" min="9473" style="0" width="14.71"/>
    <col collapsed="false" customWidth="true" hidden="false" outlineLevel="0" max="9474" min="9474" style="0" width="6.43"/>
    <col collapsed="false" customWidth="true" hidden="false" outlineLevel="0" max="9475" min="9475" style="0" width="4.71"/>
    <col collapsed="false" customWidth="true" hidden="false" outlineLevel="0" max="9476" min="9476" style="0" width="5.29"/>
    <col collapsed="false" customWidth="true" hidden="false" outlineLevel="0" max="9480" min="9477" style="0" width="4.86"/>
    <col collapsed="false" customWidth="true" hidden="false" outlineLevel="0" max="9482" min="9481" style="0" width="5.71"/>
    <col collapsed="false" customWidth="true" hidden="false" outlineLevel="0" max="9484" min="9483" style="0" width="4.86"/>
    <col collapsed="false" customWidth="true" hidden="false" outlineLevel="0" max="9488" min="9485" style="0" width="4.71"/>
    <col collapsed="false" customWidth="true" hidden="false" outlineLevel="0" max="9490" min="9489" style="0" width="5.71"/>
    <col collapsed="false" customWidth="true" hidden="false" outlineLevel="0" max="9729" min="9729" style="0" width="14.71"/>
    <col collapsed="false" customWidth="true" hidden="false" outlineLevel="0" max="9730" min="9730" style="0" width="6.43"/>
    <col collapsed="false" customWidth="true" hidden="false" outlineLevel="0" max="9731" min="9731" style="0" width="4.71"/>
    <col collapsed="false" customWidth="true" hidden="false" outlineLevel="0" max="9732" min="9732" style="0" width="5.29"/>
    <col collapsed="false" customWidth="true" hidden="false" outlineLevel="0" max="9736" min="9733" style="0" width="4.86"/>
    <col collapsed="false" customWidth="true" hidden="false" outlineLevel="0" max="9738" min="9737" style="0" width="5.71"/>
    <col collapsed="false" customWidth="true" hidden="false" outlineLevel="0" max="9740" min="9739" style="0" width="4.86"/>
    <col collapsed="false" customWidth="true" hidden="false" outlineLevel="0" max="9744" min="9741" style="0" width="4.71"/>
    <col collapsed="false" customWidth="true" hidden="false" outlineLevel="0" max="9746" min="9745" style="0" width="5.71"/>
    <col collapsed="false" customWidth="true" hidden="false" outlineLevel="0" max="9985" min="9985" style="0" width="14.71"/>
    <col collapsed="false" customWidth="true" hidden="false" outlineLevel="0" max="9986" min="9986" style="0" width="6.43"/>
    <col collapsed="false" customWidth="true" hidden="false" outlineLevel="0" max="9987" min="9987" style="0" width="4.71"/>
    <col collapsed="false" customWidth="true" hidden="false" outlineLevel="0" max="9988" min="9988" style="0" width="5.29"/>
    <col collapsed="false" customWidth="true" hidden="false" outlineLevel="0" max="9992" min="9989" style="0" width="4.86"/>
    <col collapsed="false" customWidth="true" hidden="false" outlineLevel="0" max="9994" min="9993" style="0" width="5.71"/>
    <col collapsed="false" customWidth="true" hidden="false" outlineLevel="0" max="9996" min="9995" style="0" width="4.86"/>
    <col collapsed="false" customWidth="true" hidden="false" outlineLevel="0" max="10000" min="9997" style="0" width="4.71"/>
    <col collapsed="false" customWidth="true" hidden="false" outlineLevel="0" max="10002" min="10001" style="0" width="5.71"/>
    <col collapsed="false" customWidth="true" hidden="false" outlineLevel="0" max="10241" min="10241" style="0" width="14.71"/>
    <col collapsed="false" customWidth="true" hidden="false" outlineLevel="0" max="10242" min="10242" style="0" width="6.43"/>
    <col collapsed="false" customWidth="true" hidden="false" outlineLevel="0" max="10243" min="10243" style="0" width="4.71"/>
    <col collapsed="false" customWidth="true" hidden="false" outlineLevel="0" max="10244" min="10244" style="0" width="5.29"/>
    <col collapsed="false" customWidth="true" hidden="false" outlineLevel="0" max="10248" min="10245" style="0" width="4.86"/>
    <col collapsed="false" customWidth="true" hidden="false" outlineLevel="0" max="10250" min="10249" style="0" width="5.71"/>
    <col collapsed="false" customWidth="true" hidden="false" outlineLevel="0" max="10252" min="10251" style="0" width="4.86"/>
    <col collapsed="false" customWidth="true" hidden="false" outlineLevel="0" max="10256" min="10253" style="0" width="4.71"/>
    <col collapsed="false" customWidth="true" hidden="false" outlineLevel="0" max="10258" min="10257" style="0" width="5.71"/>
    <col collapsed="false" customWidth="true" hidden="false" outlineLevel="0" max="10497" min="10497" style="0" width="14.71"/>
    <col collapsed="false" customWidth="true" hidden="false" outlineLevel="0" max="10498" min="10498" style="0" width="6.43"/>
    <col collapsed="false" customWidth="true" hidden="false" outlineLevel="0" max="10499" min="10499" style="0" width="4.71"/>
    <col collapsed="false" customWidth="true" hidden="false" outlineLevel="0" max="10500" min="10500" style="0" width="5.29"/>
    <col collapsed="false" customWidth="true" hidden="false" outlineLevel="0" max="10504" min="10501" style="0" width="4.86"/>
    <col collapsed="false" customWidth="true" hidden="false" outlineLevel="0" max="10506" min="10505" style="0" width="5.71"/>
    <col collapsed="false" customWidth="true" hidden="false" outlineLevel="0" max="10508" min="10507" style="0" width="4.86"/>
    <col collapsed="false" customWidth="true" hidden="false" outlineLevel="0" max="10512" min="10509" style="0" width="4.71"/>
    <col collapsed="false" customWidth="true" hidden="false" outlineLevel="0" max="10514" min="10513" style="0" width="5.71"/>
    <col collapsed="false" customWidth="true" hidden="false" outlineLevel="0" max="10753" min="10753" style="0" width="14.71"/>
    <col collapsed="false" customWidth="true" hidden="false" outlineLevel="0" max="10754" min="10754" style="0" width="6.43"/>
    <col collapsed="false" customWidth="true" hidden="false" outlineLevel="0" max="10755" min="10755" style="0" width="4.71"/>
    <col collapsed="false" customWidth="true" hidden="false" outlineLevel="0" max="10756" min="10756" style="0" width="5.29"/>
    <col collapsed="false" customWidth="true" hidden="false" outlineLevel="0" max="10760" min="10757" style="0" width="4.86"/>
    <col collapsed="false" customWidth="true" hidden="false" outlineLevel="0" max="10762" min="10761" style="0" width="5.71"/>
    <col collapsed="false" customWidth="true" hidden="false" outlineLevel="0" max="10764" min="10763" style="0" width="4.86"/>
    <col collapsed="false" customWidth="true" hidden="false" outlineLevel="0" max="10768" min="10765" style="0" width="4.71"/>
    <col collapsed="false" customWidth="true" hidden="false" outlineLevel="0" max="10770" min="10769" style="0" width="5.71"/>
    <col collapsed="false" customWidth="true" hidden="false" outlineLevel="0" max="11009" min="11009" style="0" width="14.71"/>
    <col collapsed="false" customWidth="true" hidden="false" outlineLevel="0" max="11010" min="11010" style="0" width="6.43"/>
    <col collapsed="false" customWidth="true" hidden="false" outlineLevel="0" max="11011" min="11011" style="0" width="4.71"/>
    <col collapsed="false" customWidth="true" hidden="false" outlineLevel="0" max="11012" min="11012" style="0" width="5.29"/>
    <col collapsed="false" customWidth="true" hidden="false" outlineLevel="0" max="11016" min="11013" style="0" width="4.86"/>
    <col collapsed="false" customWidth="true" hidden="false" outlineLevel="0" max="11018" min="11017" style="0" width="5.71"/>
    <col collapsed="false" customWidth="true" hidden="false" outlineLevel="0" max="11020" min="11019" style="0" width="4.86"/>
    <col collapsed="false" customWidth="true" hidden="false" outlineLevel="0" max="11024" min="11021" style="0" width="4.71"/>
    <col collapsed="false" customWidth="true" hidden="false" outlineLevel="0" max="11026" min="11025" style="0" width="5.71"/>
    <col collapsed="false" customWidth="true" hidden="false" outlineLevel="0" max="11265" min="11265" style="0" width="14.71"/>
    <col collapsed="false" customWidth="true" hidden="false" outlineLevel="0" max="11266" min="11266" style="0" width="6.43"/>
    <col collapsed="false" customWidth="true" hidden="false" outlineLevel="0" max="11267" min="11267" style="0" width="4.71"/>
    <col collapsed="false" customWidth="true" hidden="false" outlineLevel="0" max="11268" min="11268" style="0" width="5.29"/>
    <col collapsed="false" customWidth="true" hidden="false" outlineLevel="0" max="11272" min="11269" style="0" width="4.86"/>
    <col collapsed="false" customWidth="true" hidden="false" outlineLevel="0" max="11274" min="11273" style="0" width="5.71"/>
    <col collapsed="false" customWidth="true" hidden="false" outlineLevel="0" max="11276" min="11275" style="0" width="4.86"/>
    <col collapsed="false" customWidth="true" hidden="false" outlineLevel="0" max="11280" min="11277" style="0" width="4.71"/>
    <col collapsed="false" customWidth="true" hidden="false" outlineLevel="0" max="11282" min="11281" style="0" width="5.71"/>
    <col collapsed="false" customWidth="true" hidden="false" outlineLevel="0" max="11521" min="11521" style="0" width="14.71"/>
    <col collapsed="false" customWidth="true" hidden="false" outlineLevel="0" max="11522" min="11522" style="0" width="6.43"/>
    <col collapsed="false" customWidth="true" hidden="false" outlineLevel="0" max="11523" min="11523" style="0" width="4.71"/>
    <col collapsed="false" customWidth="true" hidden="false" outlineLevel="0" max="11524" min="11524" style="0" width="5.29"/>
    <col collapsed="false" customWidth="true" hidden="false" outlineLevel="0" max="11528" min="11525" style="0" width="4.86"/>
    <col collapsed="false" customWidth="true" hidden="false" outlineLevel="0" max="11530" min="11529" style="0" width="5.71"/>
    <col collapsed="false" customWidth="true" hidden="false" outlineLevel="0" max="11532" min="11531" style="0" width="4.86"/>
    <col collapsed="false" customWidth="true" hidden="false" outlineLevel="0" max="11536" min="11533" style="0" width="4.71"/>
    <col collapsed="false" customWidth="true" hidden="false" outlineLevel="0" max="11538" min="11537" style="0" width="5.71"/>
    <col collapsed="false" customWidth="true" hidden="false" outlineLevel="0" max="11777" min="11777" style="0" width="14.71"/>
    <col collapsed="false" customWidth="true" hidden="false" outlineLevel="0" max="11778" min="11778" style="0" width="6.43"/>
    <col collapsed="false" customWidth="true" hidden="false" outlineLevel="0" max="11779" min="11779" style="0" width="4.71"/>
    <col collapsed="false" customWidth="true" hidden="false" outlineLevel="0" max="11780" min="11780" style="0" width="5.29"/>
    <col collapsed="false" customWidth="true" hidden="false" outlineLevel="0" max="11784" min="11781" style="0" width="4.86"/>
    <col collapsed="false" customWidth="true" hidden="false" outlineLevel="0" max="11786" min="11785" style="0" width="5.71"/>
    <col collapsed="false" customWidth="true" hidden="false" outlineLevel="0" max="11788" min="11787" style="0" width="4.86"/>
    <col collapsed="false" customWidth="true" hidden="false" outlineLevel="0" max="11792" min="11789" style="0" width="4.71"/>
    <col collapsed="false" customWidth="true" hidden="false" outlineLevel="0" max="11794" min="11793" style="0" width="5.71"/>
    <col collapsed="false" customWidth="true" hidden="false" outlineLevel="0" max="12033" min="12033" style="0" width="14.71"/>
    <col collapsed="false" customWidth="true" hidden="false" outlineLevel="0" max="12034" min="12034" style="0" width="6.43"/>
    <col collapsed="false" customWidth="true" hidden="false" outlineLevel="0" max="12035" min="12035" style="0" width="4.71"/>
    <col collapsed="false" customWidth="true" hidden="false" outlineLevel="0" max="12036" min="12036" style="0" width="5.29"/>
    <col collapsed="false" customWidth="true" hidden="false" outlineLevel="0" max="12040" min="12037" style="0" width="4.86"/>
    <col collapsed="false" customWidth="true" hidden="false" outlineLevel="0" max="12042" min="12041" style="0" width="5.71"/>
    <col collapsed="false" customWidth="true" hidden="false" outlineLevel="0" max="12044" min="12043" style="0" width="4.86"/>
    <col collapsed="false" customWidth="true" hidden="false" outlineLevel="0" max="12048" min="12045" style="0" width="4.71"/>
    <col collapsed="false" customWidth="true" hidden="false" outlineLevel="0" max="12050" min="12049" style="0" width="5.71"/>
    <col collapsed="false" customWidth="true" hidden="false" outlineLevel="0" max="12289" min="12289" style="0" width="14.71"/>
    <col collapsed="false" customWidth="true" hidden="false" outlineLevel="0" max="12290" min="12290" style="0" width="6.43"/>
    <col collapsed="false" customWidth="true" hidden="false" outlineLevel="0" max="12291" min="12291" style="0" width="4.71"/>
    <col collapsed="false" customWidth="true" hidden="false" outlineLevel="0" max="12292" min="12292" style="0" width="5.29"/>
    <col collapsed="false" customWidth="true" hidden="false" outlineLevel="0" max="12296" min="12293" style="0" width="4.86"/>
    <col collapsed="false" customWidth="true" hidden="false" outlineLevel="0" max="12298" min="12297" style="0" width="5.71"/>
    <col collapsed="false" customWidth="true" hidden="false" outlineLevel="0" max="12300" min="12299" style="0" width="4.86"/>
    <col collapsed="false" customWidth="true" hidden="false" outlineLevel="0" max="12304" min="12301" style="0" width="4.71"/>
    <col collapsed="false" customWidth="true" hidden="false" outlineLevel="0" max="12306" min="12305" style="0" width="5.71"/>
    <col collapsed="false" customWidth="true" hidden="false" outlineLevel="0" max="12545" min="12545" style="0" width="14.71"/>
    <col collapsed="false" customWidth="true" hidden="false" outlineLevel="0" max="12546" min="12546" style="0" width="6.43"/>
    <col collapsed="false" customWidth="true" hidden="false" outlineLevel="0" max="12547" min="12547" style="0" width="4.71"/>
    <col collapsed="false" customWidth="true" hidden="false" outlineLevel="0" max="12548" min="12548" style="0" width="5.29"/>
    <col collapsed="false" customWidth="true" hidden="false" outlineLevel="0" max="12552" min="12549" style="0" width="4.86"/>
    <col collapsed="false" customWidth="true" hidden="false" outlineLevel="0" max="12554" min="12553" style="0" width="5.71"/>
    <col collapsed="false" customWidth="true" hidden="false" outlineLevel="0" max="12556" min="12555" style="0" width="4.86"/>
    <col collapsed="false" customWidth="true" hidden="false" outlineLevel="0" max="12560" min="12557" style="0" width="4.71"/>
    <col collapsed="false" customWidth="true" hidden="false" outlineLevel="0" max="12562" min="12561" style="0" width="5.71"/>
    <col collapsed="false" customWidth="true" hidden="false" outlineLevel="0" max="12801" min="12801" style="0" width="14.71"/>
    <col collapsed="false" customWidth="true" hidden="false" outlineLevel="0" max="12802" min="12802" style="0" width="6.43"/>
    <col collapsed="false" customWidth="true" hidden="false" outlineLevel="0" max="12803" min="12803" style="0" width="4.71"/>
    <col collapsed="false" customWidth="true" hidden="false" outlineLevel="0" max="12804" min="12804" style="0" width="5.29"/>
    <col collapsed="false" customWidth="true" hidden="false" outlineLevel="0" max="12808" min="12805" style="0" width="4.86"/>
    <col collapsed="false" customWidth="true" hidden="false" outlineLevel="0" max="12810" min="12809" style="0" width="5.71"/>
    <col collapsed="false" customWidth="true" hidden="false" outlineLevel="0" max="12812" min="12811" style="0" width="4.86"/>
    <col collapsed="false" customWidth="true" hidden="false" outlineLevel="0" max="12816" min="12813" style="0" width="4.71"/>
    <col collapsed="false" customWidth="true" hidden="false" outlineLevel="0" max="12818" min="12817" style="0" width="5.71"/>
    <col collapsed="false" customWidth="true" hidden="false" outlineLevel="0" max="13057" min="13057" style="0" width="14.71"/>
    <col collapsed="false" customWidth="true" hidden="false" outlineLevel="0" max="13058" min="13058" style="0" width="6.43"/>
    <col collapsed="false" customWidth="true" hidden="false" outlineLevel="0" max="13059" min="13059" style="0" width="4.71"/>
    <col collapsed="false" customWidth="true" hidden="false" outlineLevel="0" max="13060" min="13060" style="0" width="5.29"/>
    <col collapsed="false" customWidth="true" hidden="false" outlineLevel="0" max="13064" min="13061" style="0" width="4.86"/>
    <col collapsed="false" customWidth="true" hidden="false" outlineLevel="0" max="13066" min="13065" style="0" width="5.71"/>
    <col collapsed="false" customWidth="true" hidden="false" outlineLevel="0" max="13068" min="13067" style="0" width="4.86"/>
    <col collapsed="false" customWidth="true" hidden="false" outlineLevel="0" max="13072" min="13069" style="0" width="4.71"/>
    <col collapsed="false" customWidth="true" hidden="false" outlineLevel="0" max="13074" min="13073" style="0" width="5.71"/>
    <col collapsed="false" customWidth="true" hidden="false" outlineLevel="0" max="13313" min="13313" style="0" width="14.71"/>
    <col collapsed="false" customWidth="true" hidden="false" outlineLevel="0" max="13314" min="13314" style="0" width="6.43"/>
    <col collapsed="false" customWidth="true" hidden="false" outlineLevel="0" max="13315" min="13315" style="0" width="4.71"/>
    <col collapsed="false" customWidth="true" hidden="false" outlineLevel="0" max="13316" min="13316" style="0" width="5.29"/>
    <col collapsed="false" customWidth="true" hidden="false" outlineLevel="0" max="13320" min="13317" style="0" width="4.86"/>
    <col collapsed="false" customWidth="true" hidden="false" outlineLevel="0" max="13322" min="13321" style="0" width="5.71"/>
    <col collapsed="false" customWidth="true" hidden="false" outlineLevel="0" max="13324" min="13323" style="0" width="4.86"/>
    <col collapsed="false" customWidth="true" hidden="false" outlineLevel="0" max="13328" min="13325" style="0" width="4.71"/>
    <col collapsed="false" customWidth="true" hidden="false" outlineLevel="0" max="13330" min="13329" style="0" width="5.71"/>
    <col collapsed="false" customWidth="true" hidden="false" outlineLevel="0" max="13569" min="13569" style="0" width="14.71"/>
    <col collapsed="false" customWidth="true" hidden="false" outlineLevel="0" max="13570" min="13570" style="0" width="6.43"/>
    <col collapsed="false" customWidth="true" hidden="false" outlineLevel="0" max="13571" min="13571" style="0" width="4.71"/>
    <col collapsed="false" customWidth="true" hidden="false" outlineLevel="0" max="13572" min="13572" style="0" width="5.29"/>
    <col collapsed="false" customWidth="true" hidden="false" outlineLevel="0" max="13576" min="13573" style="0" width="4.86"/>
    <col collapsed="false" customWidth="true" hidden="false" outlineLevel="0" max="13578" min="13577" style="0" width="5.71"/>
    <col collapsed="false" customWidth="true" hidden="false" outlineLevel="0" max="13580" min="13579" style="0" width="4.86"/>
    <col collapsed="false" customWidth="true" hidden="false" outlineLevel="0" max="13584" min="13581" style="0" width="4.71"/>
    <col collapsed="false" customWidth="true" hidden="false" outlineLevel="0" max="13586" min="13585" style="0" width="5.71"/>
    <col collapsed="false" customWidth="true" hidden="false" outlineLevel="0" max="13825" min="13825" style="0" width="14.71"/>
    <col collapsed="false" customWidth="true" hidden="false" outlineLevel="0" max="13826" min="13826" style="0" width="6.43"/>
    <col collapsed="false" customWidth="true" hidden="false" outlineLevel="0" max="13827" min="13827" style="0" width="4.71"/>
    <col collapsed="false" customWidth="true" hidden="false" outlineLevel="0" max="13828" min="13828" style="0" width="5.29"/>
    <col collapsed="false" customWidth="true" hidden="false" outlineLevel="0" max="13832" min="13829" style="0" width="4.86"/>
    <col collapsed="false" customWidth="true" hidden="false" outlineLevel="0" max="13834" min="13833" style="0" width="5.71"/>
    <col collapsed="false" customWidth="true" hidden="false" outlineLevel="0" max="13836" min="13835" style="0" width="4.86"/>
    <col collapsed="false" customWidth="true" hidden="false" outlineLevel="0" max="13840" min="13837" style="0" width="4.71"/>
    <col collapsed="false" customWidth="true" hidden="false" outlineLevel="0" max="13842" min="13841" style="0" width="5.71"/>
    <col collapsed="false" customWidth="true" hidden="false" outlineLevel="0" max="14081" min="14081" style="0" width="14.71"/>
    <col collapsed="false" customWidth="true" hidden="false" outlineLevel="0" max="14082" min="14082" style="0" width="6.43"/>
    <col collapsed="false" customWidth="true" hidden="false" outlineLevel="0" max="14083" min="14083" style="0" width="4.71"/>
    <col collapsed="false" customWidth="true" hidden="false" outlineLevel="0" max="14084" min="14084" style="0" width="5.29"/>
    <col collapsed="false" customWidth="true" hidden="false" outlineLevel="0" max="14088" min="14085" style="0" width="4.86"/>
    <col collapsed="false" customWidth="true" hidden="false" outlineLevel="0" max="14090" min="14089" style="0" width="5.71"/>
    <col collapsed="false" customWidth="true" hidden="false" outlineLevel="0" max="14092" min="14091" style="0" width="4.86"/>
    <col collapsed="false" customWidth="true" hidden="false" outlineLevel="0" max="14096" min="14093" style="0" width="4.71"/>
    <col collapsed="false" customWidth="true" hidden="false" outlineLevel="0" max="14098" min="14097" style="0" width="5.71"/>
    <col collapsed="false" customWidth="true" hidden="false" outlineLevel="0" max="14337" min="14337" style="0" width="14.71"/>
    <col collapsed="false" customWidth="true" hidden="false" outlineLevel="0" max="14338" min="14338" style="0" width="6.43"/>
    <col collapsed="false" customWidth="true" hidden="false" outlineLevel="0" max="14339" min="14339" style="0" width="4.71"/>
    <col collapsed="false" customWidth="true" hidden="false" outlineLevel="0" max="14340" min="14340" style="0" width="5.29"/>
    <col collapsed="false" customWidth="true" hidden="false" outlineLevel="0" max="14344" min="14341" style="0" width="4.86"/>
    <col collapsed="false" customWidth="true" hidden="false" outlineLevel="0" max="14346" min="14345" style="0" width="5.71"/>
    <col collapsed="false" customWidth="true" hidden="false" outlineLevel="0" max="14348" min="14347" style="0" width="4.86"/>
    <col collapsed="false" customWidth="true" hidden="false" outlineLevel="0" max="14352" min="14349" style="0" width="4.71"/>
    <col collapsed="false" customWidth="true" hidden="false" outlineLevel="0" max="14354" min="14353" style="0" width="5.71"/>
    <col collapsed="false" customWidth="true" hidden="false" outlineLevel="0" max="14593" min="14593" style="0" width="14.71"/>
    <col collapsed="false" customWidth="true" hidden="false" outlineLevel="0" max="14594" min="14594" style="0" width="6.43"/>
    <col collapsed="false" customWidth="true" hidden="false" outlineLevel="0" max="14595" min="14595" style="0" width="4.71"/>
    <col collapsed="false" customWidth="true" hidden="false" outlineLevel="0" max="14596" min="14596" style="0" width="5.29"/>
    <col collapsed="false" customWidth="true" hidden="false" outlineLevel="0" max="14600" min="14597" style="0" width="4.86"/>
    <col collapsed="false" customWidth="true" hidden="false" outlineLevel="0" max="14602" min="14601" style="0" width="5.71"/>
    <col collapsed="false" customWidth="true" hidden="false" outlineLevel="0" max="14604" min="14603" style="0" width="4.86"/>
    <col collapsed="false" customWidth="true" hidden="false" outlineLevel="0" max="14608" min="14605" style="0" width="4.71"/>
    <col collapsed="false" customWidth="true" hidden="false" outlineLevel="0" max="14610" min="14609" style="0" width="5.71"/>
    <col collapsed="false" customWidth="true" hidden="false" outlineLevel="0" max="14849" min="14849" style="0" width="14.71"/>
    <col collapsed="false" customWidth="true" hidden="false" outlineLevel="0" max="14850" min="14850" style="0" width="6.43"/>
    <col collapsed="false" customWidth="true" hidden="false" outlineLevel="0" max="14851" min="14851" style="0" width="4.71"/>
    <col collapsed="false" customWidth="true" hidden="false" outlineLevel="0" max="14852" min="14852" style="0" width="5.29"/>
    <col collapsed="false" customWidth="true" hidden="false" outlineLevel="0" max="14856" min="14853" style="0" width="4.86"/>
    <col collapsed="false" customWidth="true" hidden="false" outlineLevel="0" max="14858" min="14857" style="0" width="5.71"/>
    <col collapsed="false" customWidth="true" hidden="false" outlineLevel="0" max="14860" min="14859" style="0" width="4.86"/>
    <col collapsed="false" customWidth="true" hidden="false" outlineLevel="0" max="14864" min="14861" style="0" width="4.71"/>
    <col collapsed="false" customWidth="true" hidden="false" outlineLevel="0" max="14866" min="14865" style="0" width="5.71"/>
    <col collapsed="false" customWidth="true" hidden="false" outlineLevel="0" max="15105" min="15105" style="0" width="14.71"/>
    <col collapsed="false" customWidth="true" hidden="false" outlineLevel="0" max="15106" min="15106" style="0" width="6.43"/>
    <col collapsed="false" customWidth="true" hidden="false" outlineLevel="0" max="15107" min="15107" style="0" width="4.71"/>
    <col collapsed="false" customWidth="true" hidden="false" outlineLevel="0" max="15108" min="15108" style="0" width="5.29"/>
    <col collapsed="false" customWidth="true" hidden="false" outlineLevel="0" max="15112" min="15109" style="0" width="4.86"/>
    <col collapsed="false" customWidth="true" hidden="false" outlineLevel="0" max="15114" min="15113" style="0" width="5.71"/>
    <col collapsed="false" customWidth="true" hidden="false" outlineLevel="0" max="15116" min="15115" style="0" width="4.86"/>
    <col collapsed="false" customWidth="true" hidden="false" outlineLevel="0" max="15120" min="15117" style="0" width="4.71"/>
    <col collapsed="false" customWidth="true" hidden="false" outlineLevel="0" max="15122" min="15121" style="0" width="5.71"/>
    <col collapsed="false" customWidth="true" hidden="false" outlineLevel="0" max="15361" min="15361" style="0" width="14.71"/>
    <col collapsed="false" customWidth="true" hidden="false" outlineLevel="0" max="15362" min="15362" style="0" width="6.43"/>
    <col collapsed="false" customWidth="true" hidden="false" outlineLevel="0" max="15363" min="15363" style="0" width="4.71"/>
    <col collapsed="false" customWidth="true" hidden="false" outlineLevel="0" max="15364" min="15364" style="0" width="5.29"/>
    <col collapsed="false" customWidth="true" hidden="false" outlineLevel="0" max="15368" min="15365" style="0" width="4.86"/>
    <col collapsed="false" customWidth="true" hidden="false" outlineLevel="0" max="15370" min="15369" style="0" width="5.71"/>
    <col collapsed="false" customWidth="true" hidden="false" outlineLevel="0" max="15372" min="15371" style="0" width="4.86"/>
    <col collapsed="false" customWidth="true" hidden="false" outlineLevel="0" max="15376" min="15373" style="0" width="4.71"/>
    <col collapsed="false" customWidth="true" hidden="false" outlineLevel="0" max="15378" min="15377" style="0" width="5.71"/>
    <col collapsed="false" customWidth="true" hidden="false" outlineLevel="0" max="15617" min="15617" style="0" width="14.71"/>
    <col collapsed="false" customWidth="true" hidden="false" outlineLevel="0" max="15618" min="15618" style="0" width="6.43"/>
    <col collapsed="false" customWidth="true" hidden="false" outlineLevel="0" max="15619" min="15619" style="0" width="4.71"/>
    <col collapsed="false" customWidth="true" hidden="false" outlineLevel="0" max="15620" min="15620" style="0" width="5.29"/>
    <col collapsed="false" customWidth="true" hidden="false" outlineLevel="0" max="15624" min="15621" style="0" width="4.86"/>
    <col collapsed="false" customWidth="true" hidden="false" outlineLevel="0" max="15626" min="15625" style="0" width="5.71"/>
    <col collapsed="false" customWidth="true" hidden="false" outlineLevel="0" max="15628" min="15627" style="0" width="4.86"/>
    <col collapsed="false" customWidth="true" hidden="false" outlineLevel="0" max="15632" min="15629" style="0" width="4.71"/>
    <col collapsed="false" customWidth="true" hidden="false" outlineLevel="0" max="15634" min="15633" style="0" width="5.71"/>
    <col collapsed="false" customWidth="true" hidden="false" outlineLevel="0" max="15873" min="15873" style="0" width="14.71"/>
    <col collapsed="false" customWidth="true" hidden="false" outlineLevel="0" max="15874" min="15874" style="0" width="6.43"/>
    <col collapsed="false" customWidth="true" hidden="false" outlineLevel="0" max="15875" min="15875" style="0" width="4.71"/>
    <col collapsed="false" customWidth="true" hidden="false" outlineLevel="0" max="15876" min="15876" style="0" width="5.29"/>
    <col collapsed="false" customWidth="true" hidden="false" outlineLevel="0" max="15880" min="15877" style="0" width="4.86"/>
    <col collapsed="false" customWidth="true" hidden="false" outlineLevel="0" max="15882" min="15881" style="0" width="5.71"/>
    <col collapsed="false" customWidth="true" hidden="false" outlineLevel="0" max="15884" min="15883" style="0" width="4.86"/>
    <col collapsed="false" customWidth="true" hidden="false" outlineLevel="0" max="15888" min="15885" style="0" width="4.71"/>
    <col collapsed="false" customWidth="true" hidden="false" outlineLevel="0" max="15890" min="15889" style="0" width="5.71"/>
    <col collapsed="false" customWidth="true" hidden="false" outlineLevel="0" max="16129" min="16129" style="0" width="14.71"/>
    <col collapsed="false" customWidth="true" hidden="false" outlineLevel="0" max="16130" min="16130" style="0" width="6.43"/>
    <col collapsed="false" customWidth="true" hidden="false" outlineLevel="0" max="16131" min="16131" style="0" width="4.71"/>
    <col collapsed="false" customWidth="true" hidden="false" outlineLevel="0" max="16132" min="16132" style="0" width="5.29"/>
    <col collapsed="false" customWidth="true" hidden="false" outlineLevel="0" max="16136" min="16133" style="0" width="4.86"/>
    <col collapsed="false" customWidth="true" hidden="false" outlineLevel="0" max="16138" min="16137" style="0" width="5.71"/>
    <col collapsed="false" customWidth="true" hidden="false" outlineLevel="0" max="16140" min="16139" style="0" width="4.86"/>
    <col collapsed="false" customWidth="true" hidden="false" outlineLevel="0" max="16144" min="16141" style="0" width="4.71"/>
    <col collapsed="false" customWidth="true" hidden="false" outlineLevel="0" max="16146" min="16145" style="0" width="5.71"/>
  </cols>
  <sheetData>
    <row r="1" customFormat="false" ht="16.5" hidden="false" customHeight="true" outlineLevel="0" collapsed="false">
      <c r="A1" s="98" t="s">
        <v>244</v>
      </c>
      <c r="B1" s="98"/>
      <c r="C1" s="98"/>
      <c r="D1" s="98"/>
      <c r="E1" s="98"/>
      <c r="F1" s="98"/>
      <c r="G1" s="98"/>
      <c r="H1" s="98"/>
      <c r="I1" s="98"/>
      <c r="J1" s="98"/>
      <c r="K1" s="98"/>
      <c r="L1" s="98"/>
      <c r="M1" s="98"/>
      <c r="N1" s="98"/>
      <c r="O1" s="98"/>
      <c r="P1" s="98"/>
      <c r="Q1" s="98"/>
      <c r="R1" s="98"/>
    </row>
    <row r="2" customFormat="false" ht="16.5" hidden="false" customHeight="true" outlineLevel="0" collapsed="false">
      <c r="A2" s="98" t="s">
        <v>245</v>
      </c>
      <c r="B2" s="98"/>
      <c r="C2" s="98"/>
      <c r="D2" s="98"/>
      <c r="E2" s="98"/>
      <c r="F2" s="98"/>
      <c r="G2" s="98"/>
      <c r="H2" s="98"/>
      <c r="I2" s="98"/>
      <c r="J2" s="98"/>
      <c r="K2" s="98"/>
      <c r="L2" s="98"/>
      <c r="M2" s="98"/>
      <c r="N2" s="98"/>
      <c r="O2" s="98"/>
      <c r="P2" s="98"/>
      <c r="Q2" s="98"/>
      <c r="R2" s="98"/>
    </row>
    <row r="3" customFormat="false" ht="16.5" hidden="false" customHeight="true" outlineLevel="0" collapsed="false">
      <c r="A3" s="98" t="s">
        <v>271</v>
      </c>
      <c r="B3" s="98"/>
      <c r="C3" s="98"/>
      <c r="D3" s="98"/>
      <c r="E3" s="98"/>
      <c r="F3" s="98"/>
      <c r="G3" s="98"/>
      <c r="H3" s="98"/>
      <c r="I3" s="98"/>
      <c r="J3" s="98"/>
      <c r="K3" s="98"/>
      <c r="L3" s="98"/>
      <c r="M3" s="98"/>
      <c r="N3" s="98"/>
      <c r="O3" s="98"/>
      <c r="P3" s="98"/>
      <c r="Q3" s="98"/>
      <c r="R3" s="98"/>
    </row>
    <row r="4" customFormat="false" ht="16.5" hidden="false" customHeight="true" outlineLevel="0" collapsed="false">
      <c r="A4" s="98" t="s">
        <v>272</v>
      </c>
      <c r="B4" s="98"/>
      <c r="C4" s="98"/>
      <c r="D4" s="98"/>
      <c r="E4" s="98"/>
      <c r="F4" s="98"/>
      <c r="G4" s="98"/>
      <c r="H4" s="98"/>
      <c r="I4" s="98"/>
      <c r="J4" s="98"/>
      <c r="K4" s="98"/>
      <c r="L4" s="98"/>
      <c r="M4" s="98"/>
      <c r="N4" s="98"/>
      <c r="O4" s="98"/>
      <c r="P4" s="98"/>
      <c r="Q4" s="98"/>
      <c r="R4" s="98"/>
    </row>
    <row r="5" customFormat="false" ht="13.5" hidden="false" customHeight="false" outlineLevel="0" collapsed="false">
      <c r="A5" s="0" t="s">
        <v>2</v>
      </c>
    </row>
    <row r="6" customFormat="false" ht="13.5" hidden="false" customHeight="true" outlineLevel="0" collapsed="false">
      <c r="A6" s="0" t="s">
        <v>2</v>
      </c>
      <c r="B6" s="225" t="s">
        <v>249</v>
      </c>
      <c r="C6" s="225"/>
      <c r="D6" s="225"/>
      <c r="E6" s="225" t="s">
        <v>273</v>
      </c>
      <c r="F6" s="225"/>
      <c r="G6" s="225" t="s">
        <v>274</v>
      </c>
      <c r="H6" s="225"/>
      <c r="I6" s="264" t="s">
        <v>275</v>
      </c>
      <c r="J6" s="264"/>
      <c r="K6" s="225" t="s">
        <v>276</v>
      </c>
      <c r="L6" s="225"/>
      <c r="M6" s="225" t="s">
        <v>60</v>
      </c>
      <c r="N6" s="225"/>
      <c r="O6" s="225" t="s">
        <v>277</v>
      </c>
      <c r="P6" s="225"/>
      <c r="Q6" s="265" t="s">
        <v>278</v>
      </c>
      <c r="R6" s="265"/>
    </row>
    <row r="7" customFormat="false" ht="50.25" hidden="false" customHeight="false" outlineLevel="0" collapsed="false">
      <c r="B7" s="266" t="s">
        <v>249</v>
      </c>
      <c r="C7" s="267" t="s">
        <v>251</v>
      </c>
      <c r="D7" s="268" t="s">
        <v>252</v>
      </c>
      <c r="E7" s="268" t="s">
        <v>251</v>
      </c>
      <c r="F7" s="268" t="s">
        <v>252</v>
      </c>
      <c r="G7" s="267" t="s">
        <v>251</v>
      </c>
      <c r="H7" s="268" t="s">
        <v>252</v>
      </c>
      <c r="I7" s="268" t="s">
        <v>251</v>
      </c>
      <c r="J7" s="267" t="s">
        <v>252</v>
      </c>
      <c r="K7" s="268" t="s">
        <v>251</v>
      </c>
      <c r="L7" s="267" t="s">
        <v>252</v>
      </c>
      <c r="M7" s="268" t="s">
        <v>251</v>
      </c>
      <c r="N7" s="267" t="s">
        <v>252</v>
      </c>
      <c r="O7" s="268" t="s">
        <v>251</v>
      </c>
      <c r="P7" s="268" t="s">
        <v>252</v>
      </c>
      <c r="Q7" s="268" t="s">
        <v>251</v>
      </c>
      <c r="R7" s="269" t="s">
        <v>252</v>
      </c>
    </row>
    <row r="8" customFormat="false" ht="15.75" hidden="false" customHeight="false" outlineLevel="0" collapsed="false">
      <c r="A8" s="270" t="s">
        <v>249</v>
      </c>
      <c r="B8" s="271" t="n">
        <f aca="false">SUM(B9:B21)</f>
        <v>554</v>
      </c>
      <c r="C8" s="272" t="n">
        <f aca="false">SUM(E8+G8+I8+K8+M8+O8+Q8)</f>
        <v>507</v>
      </c>
      <c r="D8" s="271" t="n">
        <f aca="false">SUM(F8+H8+J8+L8+N8+P8+R8)</f>
        <v>47</v>
      </c>
      <c r="E8" s="273" t="n">
        <f aca="false">SUM(E9:E21)</f>
        <v>1</v>
      </c>
      <c r="F8" s="274" t="n">
        <f aca="false">SUM(F9:F21)</f>
        <v>0</v>
      </c>
      <c r="G8" s="273" t="n">
        <f aca="false">SUM(G9:G21)</f>
        <v>1</v>
      </c>
      <c r="H8" s="274" t="n">
        <f aca="false">SUM(H9:H21)</f>
        <v>1</v>
      </c>
      <c r="I8" s="273" t="n">
        <f aca="false">SUM(I9:I21)</f>
        <v>1</v>
      </c>
      <c r="J8" s="274" t="n">
        <f aca="false">SUM(J9:J21)</f>
        <v>8</v>
      </c>
      <c r="K8" s="273" t="n">
        <f aca="false">SUM(K9:K21)</f>
        <v>0</v>
      </c>
      <c r="L8" s="274" t="n">
        <f aca="false">SUM(L9:L21)</f>
        <v>0</v>
      </c>
      <c r="M8" s="273" t="n">
        <f aca="false">SUM(M9:M21)</f>
        <v>0</v>
      </c>
      <c r="N8" s="274" t="n">
        <f aca="false">SUM(N9:N21)</f>
        <v>1</v>
      </c>
      <c r="O8" s="273" t="n">
        <f aca="false">SUM(O9:O21)</f>
        <v>0</v>
      </c>
      <c r="P8" s="274" t="n">
        <f aca="false">SUM(P9:P21)</f>
        <v>5</v>
      </c>
      <c r="Q8" s="273" t="n">
        <f aca="false">SUM(Q9:Q21)</f>
        <v>504</v>
      </c>
      <c r="R8" s="275" t="n">
        <f aca="false">SUM(R9:R21)</f>
        <v>32</v>
      </c>
    </row>
    <row r="9" customFormat="false" ht="15.75" hidden="false" customHeight="false" outlineLevel="0" collapsed="false">
      <c r="A9" s="276" t="s">
        <v>69</v>
      </c>
      <c r="B9" s="277" t="n">
        <f aca="false">SUM(C9:D9)</f>
        <v>126</v>
      </c>
      <c r="C9" s="278" t="n">
        <f aca="false">SUM(E9+G9+I9+K9+M9+O9+Q9)</f>
        <v>119</v>
      </c>
      <c r="D9" s="279" t="n">
        <f aca="false">SUM(F9+H9+J9+L9+N9+P9+R9)</f>
        <v>7</v>
      </c>
      <c r="E9" s="280"/>
      <c r="F9" s="281"/>
      <c r="G9" s="280"/>
      <c r="H9" s="281"/>
      <c r="I9" s="280"/>
      <c r="J9" s="281" t="n">
        <v>1</v>
      </c>
      <c r="K9" s="280"/>
      <c r="L9" s="281"/>
      <c r="M9" s="280"/>
      <c r="N9" s="281"/>
      <c r="O9" s="280"/>
      <c r="P9" s="281"/>
      <c r="Q9" s="280" t="n">
        <v>119</v>
      </c>
      <c r="R9" s="282" t="n">
        <v>6</v>
      </c>
    </row>
    <row r="10" customFormat="false" ht="15.75" hidden="false" customHeight="false" outlineLevel="0" collapsed="false">
      <c r="A10" s="276" t="s">
        <v>279</v>
      </c>
      <c r="B10" s="277" t="n">
        <f aca="false">SUM(C10:D10)</f>
        <v>24</v>
      </c>
      <c r="C10" s="283" t="n">
        <f aca="false">SUM(E10+G10+I10+K10+M10+O10+Q10)</f>
        <v>20</v>
      </c>
      <c r="D10" s="284" t="n">
        <f aca="false">SUM(F10+H10+J10+L10+N10+P10+R10)</f>
        <v>4</v>
      </c>
      <c r="E10" s="280"/>
      <c r="F10" s="281"/>
      <c r="G10" s="280"/>
      <c r="H10" s="281"/>
      <c r="I10" s="280"/>
      <c r="J10" s="281" t="n">
        <v>1</v>
      </c>
      <c r="K10" s="280"/>
      <c r="L10" s="281"/>
      <c r="M10" s="280"/>
      <c r="N10" s="281"/>
      <c r="O10" s="280"/>
      <c r="P10" s="281" t="n">
        <v>1</v>
      </c>
      <c r="Q10" s="280" t="n">
        <v>20</v>
      </c>
      <c r="R10" s="282" t="n">
        <v>2</v>
      </c>
    </row>
    <row r="11" customFormat="false" ht="15.75" hidden="false" customHeight="false" outlineLevel="0" collapsed="false">
      <c r="A11" s="276" t="s">
        <v>280</v>
      </c>
      <c r="B11" s="277" t="n">
        <f aca="false">SUM(C11:D11)</f>
        <v>70</v>
      </c>
      <c r="C11" s="283" t="n">
        <f aca="false">SUM(E11+G11+I11+K11+M11+O11+Q11)</f>
        <v>66</v>
      </c>
      <c r="D11" s="284" t="n">
        <f aca="false">SUM(F11+H11+J11+L11+N11+P11+R11)</f>
        <v>4</v>
      </c>
      <c r="E11" s="280"/>
      <c r="F11" s="281"/>
      <c r="G11" s="280"/>
      <c r="H11" s="281"/>
      <c r="I11" s="280" t="n">
        <v>1</v>
      </c>
      <c r="J11" s="281" t="n">
        <v>1</v>
      </c>
      <c r="K11" s="280"/>
      <c r="L11" s="281"/>
      <c r="M11" s="280"/>
      <c r="N11" s="281"/>
      <c r="O11" s="280"/>
      <c r="P11" s="281"/>
      <c r="Q11" s="280" t="n">
        <v>65</v>
      </c>
      <c r="R11" s="282" t="n">
        <v>3</v>
      </c>
    </row>
    <row r="12" customFormat="false" ht="15.75" hidden="false" customHeight="false" outlineLevel="0" collapsed="false">
      <c r="A12" s="276" t="s">
        <v>106</v>
      </c>
      <c r="B12" s="277" t="n">
        <f aca="false">SUM(C12:D12)</f>
        <v>25</v>
      </c>
      <c r="C12" s="283" t="n">
        <f aca="false">SUM(E12+G12+I12+K12+M12+O12+Q12)</f>
        <v>23</v>
      </c>
      <c r="D12" s="284" t="n">
        <f aca="false">SUM(F12+H12+J12+L12+N12+P12+R12)</f>
        <v>2</v>
      </c>
      <c r="E12" s="280"/>
      <c r="F12" s="281"/>
      <c r="G12" s="280"/>
      <c r="H12" s="281"/>
      <c r="I12" s="280"/>
      <c r="J12" s="281"/>
      <c r="K12" s="280"/>
      <c r="L12" s="281"/>
      <c r="M12" s="280"/>
      <c r="N12" s="281"/>
      <c r="O12" s="280"/>
      <c r="P12" s="281"/>
      <c r="Q12" s="280" t="n">
        <v>23</v>
      </c>
      <c r="R12" s="282" t="n">
        <v>2</v>
      </c>
    </row>
    <row r="13" customFormat="false" ht="15.75" hidden="false" customHeight="false" outlineLevel="0" collapsed="false">
      <c r="A13" s="276" t="s">
        <v>281</v>
      </c>
      <c r="B13" s="277" t="n">
        <f aca="false">SUM(C13:D13)</f>
        <v>20</v>
      </c>
      <c r="C13" s="283" t="n">
        <f aca="false">SUM(E13+G13+I13+K13+M13+O13+Q13)</f>
        <v>16</v>
      </c>
      <c r="D13" s="284" t="n">
        <f aca="false">SUM(F13+H13+J13+L13+N13+P13+R13)</f>
        <v>4</v>
      </c>
      <c r="E13" s="280" t="n">
        <v>1</v>
      </c>
      <c r="F13" s="281"/>
      <c r="G13" s="280"/>
      <c r="H13" s="281"/>
      <c r="I13" s="280"/>
      <c r="J13" s="281"/>
      <c r="K13" s="280"/>
      <c r="L13" s="281"/>
      <c r="M13" s="280"/>
      <c r="N13" s="281"/>
      <c r="O13" s="280"/>
      <c r="P13" s="281" t="n">
        <v>1</v>
      </c>
      <c r="Q13" s="280" t="n">
        <v>15</v>
      </c>
      <c r="R13" s="282" t="n">
        <v>3</v>
      </c>
    </row>
    <row r="14" customFormat="false" ht="15.75" hidden="false" customHeight="false" outlineLevel="0" collapsed="false">
      <c r="A14" s="276" t="s">
        <v>282</v>
      </c>
      <c r="B14" s="277" t="n">
        <f aca="false">SUM(C14:D14)</f>
        <v>56</v>
      </c>
      <c r="C14" s="283" t="n">
        <f aca="false">SUM(E14+G14+I14+K14+M14+O14+Q14)</f>
        <v>50</v>
      </c>
      <c r="D14" s="284" t="n">
        <f aca="false">SUM(F14+H14+J14+L14+N14+P14+R14)</f>
        <v>6</v>
      </c>
      <c r="E14" s="280"/>
      <c r="F14" s="281"/>
      <c r="G14" s="280"/>
      <c r="H14" s="281"/>
      <c r="I14" s="280"/>
      <c r="J14" s="281" t="n">
        <v>1</v>
      </c>
      <c r="K14" s="280"/>
      <c r="L14" s="281"/>
      <c r="M14" s="280"/>
      <c r="N14" s="281"/>
      <c r="O14" s="280"/>
      <c r="P14" s="281" t="n">
        <v>2</v>
      </c>
      <c r="Q14" s="280" t="n">
        <v>50</v>
      </c>
      <c r="R14" s="282" t="n">
        <v>3</v>
      </c>
      <c r="W14" s="0" t="s">
        <v>2</v>
      </c>
    </row>
    <row r="15" customFormat="false" ht="15.75" hidden="false" customHeight="false" outlineLevel="0" collapsed="false">
      <c r="A15" s="276" t="s">
        <v>283</v>
      </c>
      <c r="B15" s="277" t="n">
        <f aca="false">SUM(C15:D15)</f>
        <v>82</v>
      </c>
      <c r="C15" s="283" t="n">
        <f aca="false">SUM(E15+G15+I15+K15+M15+O15+Q15)</f>
        <v>75</v>
      </c>
      <c r="D15" s="284" t="n">
        <f aca="false">SUM(F15+H15+J15+L15+N15+P15+R15)</f>
        <v>7</v>
      </c>
      <c r="E15" s="280"/>
      <c r="F15" s="281"/>
      <c r="G15" s="280"/>
      <c r="H15" s="281"/>
      <c r="I15" s="280"/>
      <c r="J15" s="281" t="n">
        <v>2</v>
      </c>
      <c r="K15" s="280"/>
      <c r="L15" s="281"/>
      <c r="M15" s="280"/>
      <c r="N15" s="281"/>
      <c r="O15" s="280"/>
      <c r="P15" s="281"/>
      <c r="Q15" s="280" t="n">
        <v>75</v>
      </c>
      <c r="R15" s="282" t="n">
        <v>5</v>
      </c>
      <c r="S15" s="285"/>
      <c r="T15" s="286"/>
    </row>
    <row r="16" customFormat="false" ht="15.75" hidden="false" customHeight="false" outlineLevel="0" collapsed="false">
      <c r="A16" s="276" t="s">
        <v>238</v>
      </c>
      <c r="B16" s="277" t="n">
        <f aca="false">SUM(C16:D16)</f>
        <v>70</v>
      </c>
      <c r="C16" s="283" t="n">
        <f aca="false">SUM(E16+G16+I16+K16+M16+O16+Q16)</f>
        <v>64</v>
      </c>
      <c r="D16" s="284" t="n">
        <f aca="false">SUM(F16+H16+J16+L16+N16+P16+R16)</f>
        <v>6</v>
      </c>
      <c r="E16" s="280"/>
      <c r="F16" s="281"/>
      <c r="G16" s="280"/>
      <c r="H16" s="281"/>
      <c r="I16" s="280"/>
      <c r="J16" s="281"/>
      <c r="K16" s="280"/>
      <c r="L16" s="281"/>
      <c r="M16" s="280"/>
      <c r="N16" s="281"/>
      <c r="O16" s="287"/>
      <c r="P16" s="281" t="n">
        <v>1</v>
      </c>
      <c r="Q16" s="280" t="n">
        <v>64</v>
      </c>
      <c r="R16" s="282" t="n">
        <v>5</v>
      </c>
      <c r="S16" s="285"/>
      <c r="T16" s="285" t="s">
        <v>2</v>
      </c>
    </row>
    <row r="17" customFormat="false" ht="15.75" hidden="false" customHeight="false" outlineLevel="0" collapsed="false">
      <c r="A17" s="276" t="s">
        <v>160</v>
      </c>
      <c r="B17" s="277" t="n">
        <f aca="false">SUM(C17:D17)</f>
        <v>23</v>
      </c>
      <c r="C17" s="283" t="n">
        <f aca="false">SUM(E17+G17+I17+K17+M17+O17+Q17)</f>
        <v>22</v>
      </c>
      <c r="D17" s="284" t="n">
        <f aca="false">SUM(F17+H17+J17+L17+N17+P17+R17)</f>
        <v>1</v>
      </c>
      <c r="E17" s="280"/>
      <c r="F17" s="281"/>
      <c r="G17" s="280"/>
      <c r="H17" s="281"/>
      <c r="I17" s="280"/>
      <c r="J17" s="281"/>
      <c r="K17" s="280"/>
      <c r="L17" s="281"/>
      <c r="M17" s="280"/>
      <c r="N17" s="281"/>
      <c r="O17" s="280"/>
      <c r="P17" s="281"/>
      <c r="Q17" s="280" t="n">
        <v>22</v>
      </c>
      <c r="R17" s="282" t="n">
        <v>1</v>
      </c>
    </row>
    <row r="18" customFormat="false" ht="15.75" hidden="false" customHeight="false" outlineLevel="0" collapsed="false">
      <c r="A18" s="276" t="s">
        <v>165</v>
      </c>
      <c r="B18" s="277" t="n">
        <f aca="false">SUM(C18:D18)</f>
        <v>18</v>
      </c>
      <c r="C18" s="283" t="n">
        <f aca="false">SUM(E18+G18+I18+K18+M18+O18+Q18)</f>
        <v>17</v>
      </c>
      <c r="D18" s="284" t="n">
        <f aca="false">SUM(F18+H18+J18+L18+N18+P18+R18)</f>
        <v>1</v>
      </c>
      <c r="E18" s="280"/>
      <c r="F18" s="281"/>
      <c r="G18" s="280"/>
      <c r="H18" s="281"/>
      <c r="I18" s="280"/>
      <c r="J18" s="281" t="n">
        <v>1</v>
      </c>
      <c r="K18" s="280"/>
      <c r="L18" s="281"/>
      <c r="M18" s="280"/>
      <c r="N18" s="281"/>
      <c r="O18" s="280"/>
      <c r="P18" s="281"/>
      <c r="Q18" s="280" t="n">
        <v>17</v>
      </c>
      <c r="R18" s="282"/>
    </row>
    <row r="19" customFormat="false" ht="15.75" hidden="false" customHeight="false" outlineLevel="0" collapsed="false">
      <c r="A19" s="276" t="s">
        <v>176</v>
      </c>
      <c r="B19" s="277" t="n">
        <f aca="false">SUM(C19:D19)</f>
        <v>3</v>
      </c>
      <c r="C19" s="283" t="n">
        <f aca="false">SUM(E19+G19+I19+K19+M19+O19+Q19)</f>
        <v>2</v>
      </c>
      <c r="D19" s="284" t="n">
        <f aca="false">SUM(F19+H19+J19+L19+N19+P19+R19)</f>
        <v>1</v>
      </c>
      <c r="E19" s="280"/>
      <c r="F19" s="281"/>
      <c r="G19" s="280"/>
      <c r="H19" s="281"/>
      <c r="I19" s="280"/>
      <c r="J19" s="281" t="n">
        <v>1</v>
      </c>
      <c r="K19" s="280"/>
      <c r="L19" s="281"/>
      <c r="M19" s="280"/>
      <c r="N19" s="281"/>
      <c r="O19" s="280"/>
      <c r="P19" s="281"/>
      <c r="Q19" s="280" t="n">
        <v>2</v>
      </c>
      <c r="R19" s="282"/>
    </row>
    <row r="20" customFormat="false" ht="15.75" hidden="false" customHeight="false" outlineLevel="0" collapsed="false">
      <c r="A20" s="288" t="s">
        <v>182</v>
      </c>
      <c r="B20" s="289" t="n">
        <f aca="false">SUM(C20:D20)</f>
        <v>22</v>
      </c>
      <c r="C20" s="290" t="n">
        <f aca="false">SUM(E20+G20+I20+K20+M20+O20+Q20)</f>
        <v>19</v>
      </c>
      <c r="D20" s="291" t="n">
        <f aca="false">SUM(F20+H20+J20+L20+N20+P20+R20)</f>
        <v>3</v>
      </c>
      <c r="E20" s="292"/>
      <c r="F20" s="293"/>
      <c r="G20" s="292"/>
      <c r="H20" s="293"/>
      <c r="I20" s="292"/>
      <c r="J20" s="293"/>
      <c r="K20" s="292"/>
      <c r="L20" s="293"/>
      <c r="M20" s="292"/>
      <c r="N20" s="293" t="n">
        <v>1</v>
      </c>
      <c r="O20" s="292"/>
      <c r="P20" s="293"/>
      <c r="Q20" s="292" t="n">
        <v>19</v>
      </c>
      <c r="R20" s="294" t="n">
        <v>2</v>
      </c>
    </row>
    <row r="21" customFormat="false" ht="16.5" hidden="false" customHeight="false" outlineLevel="0" collapsed="false">
      <c r="A21" s="295" t="s">
        <v>189</v>
      </c>
      <c r="B21" s="296" t="n">
        <f aca="false">SUM(C21:D21)</f>
        <v>15</v>
      </c>
      <c r="C21" s="297" t="n">
        <f aca="false">SUM(E21+G21+I21+K21+M21+O21+Q21)</f>
        <v>14</v>
      </c>
      <c r="D21" s="298" t="n">
        <f aca="false">SUM(F21+H21+J21+L21+N21+P21+R21)</f>
        <v>1</v>
      </c>
      <c r="E21" s="299"/>
      <c r="F21" s="300"/>
      <c r="G21" s="299" t="n">
        <v>1</v>
      </c>
      <c r="H21" s="300" t="n">
        <v>1</v>
      </c>
      <c r="I21" s="299"/>
      <c r="J21" s="300"/>
      <c r="K21" s="299"/>
      <c r="L21" s="300"/>
      <c r="M21" s="299"/>
      <c r="N21" s="300"/>
      <c r="O21" s="299"/>
      <c r="P21" s="300"/>
      <c r="Q21" s="299" t="n">
        <v>13</v>
      </c>
      <c r="R21" s="301"/>
    </row>
    <row r="22" customFormat="false" ht="15" hidden="false" customHeight="false" outlineLevel="0" collapsed="false">
      <c r="C22" s="302"/>
      <c r="D22" s="86"/>
      <c r="E22" s="303"/>
      <c r="F22" s="63"/>
      <c r="G22" s="63"/>
      <c r="H22" s="63"/>
      <c r="I22" s="63"/>
      <c r="J22" s="63"/>
      <c r="K22" s="63"/>
      <c r="L22" s="63"/>
      <c r="M22" s="63"/>
      <c r="N22" s="63"/>
      <c r="O22" s="63"/>
      <c r="P22" s="63"/>
      <c r="Q22" s="63"/>
      <c r="R22" s="63"/>
    </row>
  </sheetData>
  <mergeCells count="12">
    <mergeCell ref="A1:R1"/>
    <mergeCell ref="A2:R2"/>
    <mergeCell ref="A3:R3"/>
    <mergeCell ref="A4:R4"/>
    <mergeCell ref="B6:D6"/>
    <mergeCell ref="E6:F6"/>
    <mergeCell ref="G6:H6"/>
    <mergeCell ref="I6:J6"/>
    <mergeCell ref="K6:L6"/>
    <mergeCell ref="M6:N6"/>
    <mergeCell ref="O6:P6"/>
    <mergeCell ref="Q6:R6"/>
  </mergeCells>
  <printOptions headings="false" gridLines="false" gridLinesSet="true" horizontalCentered="false" verticalCentered="false"/>
  <pageMargins left="0.7" right="0.7" top="0.75" bottom="0.75" header="0.511811023622047" footer="0.511811023622047"/>
  <pageSetup paperSize="1" scale="9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pageBreakPreview" topLeftCell="A1" colorId="64" zoomScale="65" zoomScaleNormal="100" zoomScalePageLayoutView="65" workbookViewId="0">
      <selection pane="topLeft" activeCell="B9" activeCellId="0" sqref="B9"/>
    </sheetView>
  </sheetViews>
  <sheetFormatPr defaultColWidth="8.6796875" defaultRowHeight="12.75" zeroHeight="false" outlineLevelRow="0" outlineLevelCol="0"/>
  <cols>
    <col collapsed="false" customWidth="true" hidden="false" outlineLevel="0" max="1" min="1" style="0" width="30"/>
    <col collapsed="false" customWidth="true" hidden="false" outlineLevel="0" max="2" min="2" style="0" width="20.42"/>
    <col collapsed="false" customWidth="true" hidden="false" outlineLevel="0" max="3" min="3" style="0" width="13.57"/>
    <col collapsed="false" customWidth="true" hidden="false" outlineLevel="0" max="4" min="4" style="0" width="63.85"/>
    <col collapsed="false" customWidth="true" hidden="false" outlineLevel="0" max="257" min="257" style="0" width="30"/>
    <col collapsed="false" customWidth="true" hidden="false" outlineLevel="0" max="258" min="258" style="0" width="20.42"/>
    <col collapsed="false" customWidth="true" hidden="false" outlineLevel="0" max="259" min="259" style="0" width="13.57"/>
    <col collapsed="false" customWidth="true" hidden="false" outlineLevel="0" max="260" min="260" style="0" width="63.85"/>
    <col collapsed="false" customWidth="true" hidden="false" outlineLevel="0" max="513" min="513" style="0" width="30"/>
    <col collapsed="false" customWidth="true" hidden="false" outlineLevel="0" max="514" min="514" style="0" width="20.42"/>
    <col collapsed="false" customWidth="true" hidden="false" outlineLevel="0" max="515" min="515" style="0" width="13.57"/>
    <col collapsed="false" customWidth="true" hidden="false" outlineLevel="0" max="516" min="516" style="0" width="63.85"/>
    <col collapsed="false" customWidth="true" hidden="false" outlineLevel="0" max="769" min="769" style="0" width="30"/>
    <col collapsed="false" customWidth="true" hidden="false" outlineLevel="0" max="770" min="770" style="0" width="20.42"/>
    <col collapsed="false" customWidth="true" hidden="false" outlineLevel="0" max="771" min="771" style="0" width="13.57"/>
    <col collapsed="false" customWidth="true" hidden="false" outlineLevel="0" max="772" min="772" style="0" width="63.85"/>
    <col collapsed="false" customWidth="true" hidden="false" outlineLevel="0" max="1025" min="1025" style="0" width="30"/>
    <col collapsed="false" customWidth="true" hidden="false" outlineLevel="0" max="1026" min="1026" style="0" width="20.42"/>
    <col collapsed="false" customWidth="true" hidden="false" outlineLevel="0" max="1027" min="1027" style="0" width="13.57"/>
    <col collapsed="false" customWidth="true" hidden="false" outlineLevel="0" max="1028" min="1028" style="0" width="63.85"/>
    <col collapsed="false" customWidth="true" hidden="false" outlineLevel="0" max="1281" min="1281" style="0" width="30"/>
    <col collapsed="false" customWidth="true" hidden="false" outlineLevel="0" max="1282" min="1282" style="0" width="20.42"/>
    <col collapsed="false" customWidth="true" hidden="false" outlineLevel="0" max="1283" min="1283" style="0" width="13.57"/>
    <col collapsed="false" customWidth="true" hidden="false" outlineLevel="0" max="1284" min="1284" style="0" width="63.85"/>
    <col collapsed="false" customWidth="true" hidden="false" outlineLevel="0" max="1537" min="1537" style="0" width="30"/>
    <col collapsed="false" customWidth="true" hidden="false" outlineLevel="0" max="1538" min="1538" style="0" width="20.42"/>
    <col collapsed="false" customWidth="true" hidden="false" outlineLevel="0" max="1539" min="1539" style="0" width="13.57"/>
    <col collapsed="false" customWidth="true" hidden="false" outlineLevel="0" max="1540" min="1540" style="0" width="63.85"/>
    <col collapsed="false" customWidth="true" hidden="false" outlineLevel="0" max="1793" min="1793" style="0" width="30"/>
    <col collapsed="false" customWidth="true" hidden="false" outlineLevel="0" max="1794" min="1794" style="0" width="20.42"/>
    <col collapsed="false" customWidth="true" hidden="false" outlineLevel="0" max="1795" min="1795" style="0" width="13.57"/>
    <col collapsed="false" customWidth="true" hidden="false" outlineLevel="0" max="1796" min="1796" style="0" width="63.85"/>
    <col collapsed="false" customWidth="true" hidden="false" outlineLevel="0" max="2049" min="2049" style="0" width="30"/>
    <col collapsed="false" customWidth="true" hidden="false" outlineLevel="0" max="2050" min="2050" style="0" width="20.42"/>
    <col collapsed="false" customWidth="true" hidden="false" outlineLevel="0" max="2051" min="2051" style="0" width="13.57"/>
    <col collapsed="false" customWidth="true" hidden="false" outlineLevel="0" max="2052" min="2052" style="0" width="63.85"/>
    <col collapsed="false" customWidth="true" hidden="false" outlineLevel="0" max="2305" min="2305" style="0" width="30"/>
    <col collapsed="false" customWidth="true" hidden="false" outlineLevel="0" max="2306" min="2306" style="0" width="20.42"/>
    <col collapsed="false" customWidth="true" hidden="false" outlineLevel="0" max="2307" min="2307" style="0" width="13.57"/>
    <col collapsed="false" customWidth="true" hidden="false" outlineLevel="0" max="2308" min="2308" style="0" width="63.85"/>
    <col collapsed="false" customWidth="true" hidden="false" outlineLevel="0" max="2561" min="2561" style="0" width="30"/>
    <col collapsed="false" customWidth="true" hidden="false" outlineLevel="0" max="2562" min="2562" style="0" width="20.42"/>
    <col collapsed="false" customWidth="true" hidden="false" outlineLevel="0" max="2563" min="2563" style="0" width="13.57"/>
    <col collapsed="false" customWidth="true" hidden="false" outlineLevel="0" max="2564" min="2564" style="0" width="63.85"/>
    <col collapsed="false" customWidth="true" hidden="false" outlineLevel="0" max="2817" min="2817" style="0" width="30"/>
    <col collapsed="false" customWidth="true" hidden="false" outlineLevel="0" max="2818" min="2818" style="0" width="20.42"/>
    <col collapsed="false" customWidth="true" hidden="false" outlineLevel="0" max="2819" min="2819" style="0" width="13.57"/>
    <col collapsed="false" customWidth="true" hidden="false" outlineLevel="0" max="2820" min="2820" style="0" width="63.85"/>
    <col collapsed="false" customWidth="true" hidden="false" outlineLevel="0" max="3073" min="3073" style="0" width="30"/>
    <col collapsed="false" customWidth="true" hidden="false" outlineLevel="0" max="3074" min="3074" style="0" width="20.42"/>
    <col collapsed="false" customWidth="true" hidden="false" outlineLevel="0" max="3075" min="3075" style="0" width="13.57"/>
    <col collapsed="false" customWidth="true" hidden="false" outlineLevel="0" max="3076" min="3076" style="0" width="63.85"/>
    <col collapsed="false" customWidth="true" hidden="false" outlineLevel="0" max="3329" min="3329" style="0" width="30"/>
    <col collapsed="false" customWidth="true" hidden="false" outlineLevel="0" max="3330" min="3330" style="0" width="20.42"/>
    <col collapsed="false" customWidth="true" hidden="false" outlineLevel="0" max="3331" min="3331" style="0" width="13.57"/>
    <col collapsed="false" customWidth="true" hidden="false" outlineLevel="0" max="3332" min="3332" style="0" width="63.85"/>
    <col collapsed="false" customWidth="true" hidden="false" outlineLevel="0" max="3585" min="3585" style="0" width="30"/>
    <col collapsed="false" customWidth="true" hidden="false" outlineLevel="0" max="3586" min="3586" style="0" width="20.42"/>
    <col collapsed="false" customWidth="true" hidden="false" outlineLevel="0" max="3587" min="3587" style="0" width="13.57"/>
    <col collapsed="false" customWidth="true" hidden="false" outlineLevel="0" max="3588" min="3588" style="0" width="63.85"/>
    <col collapsed="false" customWidth="true" hidden="false" outlineLevel="0" max="3841" min="3841" style="0" width="30"/>
    <col collapsed="false" customWidth="true" hidden="false" outlineLevel="0" max="3842" min="3842" style="0" width="20.42"/>
    <col collapsed="false" customWidth="true" hidden="false" outlineLevel="0" max="3843" min="3843" style="0" width="13.57"/>
    <col collapsed="false" customWidth="true" hidden="false" outlineLevel="0" max="3844" min="3844" style="0" width="63.85"/>
    <col collapsed="false" customWidth="true" hidden="false" outlineLevel="0" max="4097" min="4097" style="0" width="30"/>
    <col collapsed="false" customWidth="true" hidden="false" outlineLevel="0" max="4098" min="4098" style="0" width="20.42"/>
    <col collapsed="false" customWidth="true" hidden="false" outlineLevel="0" max="4099" min="4099" style="0" width="13.57"/>
    <col collapsed="false" customWidth="true" hidden="false" outlineLevel="0" max="4100" min="4100" style="0" width="63.85"/>
    <col collapsed="false" customWidth="true" hidden="false" outlineLevel="0" max="4353" min="4353" style="0" width="30"/>
    <col collapsed="false" customWidth="true" hidden="false" outlineLevel="0" max="4354" min="4354" style="0" width="20.42"/>
    <col collapsed="false" customWidth="true" hidden="false" outlineLevel="0" max="4355" min="4355" style="0" width="13.57"/>
    <col collapsed="false" customWidth="true" hidden="false" outlineLevel="0" max="4356" min="4356" style="0" width="63.85"/>
    <col collapsed="false" customWidth="true" hidden="false" outlineLevel="0" max="4609" min="4609" style="0" width="30"/>
    <col collapsed="false" customWidth="true" hidden="false" outlineLevel="0" max="4610" min="4610" style="0" width="20.42"/>
    <col collapsed="false" customWidth="true" hidden="false" outlineLevel="0" max="4611" min="4611" style="0" width="13.57"/>
    <col collapsed="false" customWidth="true" hidden="false" outlineLevel="0" max="4612" min="4612" style="0" width="63.85"/>
    <col collapsed="false" customWidth="true" hidden="false" outlineLevel="0" max="4865" min="4865" style="0" width="30"/>
    <col collapsed="false" customWidth="true" hidden="false" outlineLevel="0" max="4866" min="4866" style="0" width="20.42"/>
    <col collapsed="false" customWidth="true" hidden="false" outlineLevel="0" max="4867" min="4867" style="0" width="13.57"/>
    <col collapsed="false" customWidth="true" hidden="false" outlineLevel="0" max="4868" min="4868" style="0" width="63.85"/>
    <col collapsed="false" customWidth="true" hidden="false" outlineLevel="0" max="5121" min="5121" style="0" width="30"/>
    <col collapsed="false" customWidth="true" hidden="false" outlineLevel="0" max="5122" min="5122" style="0" width="20.42"/>
    <col collapsed="false" customWidth="true" hidden="false" outlineLevel="0" max="5123" min="5123" style="0" width="13.57"/>
    <col collapsed="false" customWidth="true" hidden="false" outlineLevel="0" max="5124" min="5124" style="0" width="63.85"/>
    <col collapsed="false" customWidth="true" hidden="false" outlineLevel="0" max="5377" min="5377" style="0" width="30"/>
    <col collapsed="false" customWidth="true" hidden="false" outlineLevel="0" max="5378" min="5378" style="0" width="20.42"/>
    <col collapsed="false" customWidth="true" hidden="false" outlineLevel="0" max="5379" min="5379" style="0" width="13.57"/>
    <col collapsed="false" customWidth="true" hidden="false" outlineLevel="0" max="5380" min="5380" style="0" width="63.85"/>
    <col collapsed="false" customWidth="true" hidden="false" outlineLevel="0" max="5633" min="5633" style="0" width="30"/>
    <col collapsed="false" customWidth="true" hidden="false" outlineLevel="0" max="5634" min="5634" style="0" width="20.42"/>
    <col collapsed="false" customWidth="true" hidden="false" outlineLevel="0" max="5635" min="5635" style="0" width="13.57"/>
    <col collapsed="false" customWidth="true" hidden="false" outlineLevel="0" max="5636" min="5636" style="0" width="63.85"/>
    <col collapsed="false" customWidth="true" hidden="false" outlineLevel="0" max="5889" min="5889" style="0" width="30"/>
    <col collapsed="false" customWidth="true" hidden="false" outlineLevel="0" max="5890" min="5890" style="0" width="20.42"/>
    <col collapsed="false" customWidth="true" hidden="false" outlineLevel="0" max="5891" min="5891" style="0" width="13.57"/>
    <col collapsed="false" customWidth="true" hidden="false" outlineLevel="0" max="5892" min="5892" style="0" width="63.85"/>
    <col collapsed="false" customWidth="true" hidden="false" outlineLevel="0" max="6145" min="6145" style="0" width="30"/>
    <col collapsed="false" customWidth="true" hidden="false" outlineLevel="0" max="6146" min="6146" style="0" width="20.42"/>
    <col collapsed="false" customWidth="true" hidden="false" outlineLevel="0" max="6147" min="6147" style="0" width="13.57"/>
    <col collapsed="false" customWidth="true" hidden="false" outlineLevel="0" max="6148" min="6148" style="0" width="63.85"/>
    <col collapsed="false" customWidth="true" hidden="false" outlineLevel="0" max="6401" min="6401" style="0" width="30"/>
    <col collapsed="false" customWidth="true" hidden="false" outlineLevel="0" max="6402" min="6402" style="0" width="20.42"/>
    <col collapsed="false" customWidth="true" hidden="false" outlineLevel="0" max="6403" min="6403" style="0" width="13.57"/>
    <col collapsed="false" customWidth="true" hidden="false" outlineLevel="0" max="6404" min="6404" style="0" width="63.85"/>
    <col collapsed="false" customWidth="true" hidden="false" outlineLevel="0" max="6657" min="6657" style="0" width="30"/>
    <col collapsed="false" customWidth="true" hidden="false" outlineLevel="0" max="6658" min="6658" style="0" width="20.42"/>
    <col collapsed="false" customWidth="true" hidden="false" outlineLevel="0" max="6659" min="6659" style="0" width="13.57"/>
    <col collapsed="false" customWidth="true" hidden="false" outlineLevel="0" max="6660" min="6660" style="0" width="63.85"/>
    <col collapsed="false" customWidth="true" hidden="false" outlineLevel="0" max="6913" min="6913" style="0" width="30"/>
    <col collapsed="false" customWidth="true" hidden="false" outlineLevel="0" max="6914" min="6914" style="0" width="20.42"/>
    <col collapsed="false" customWidth="true" hidden="false" outlineLevel="0" max="6915" min="6915" style="0" width="13.57"/>
    <col collapsed="false" customWidth="true" hidden="false" outlineLevel="0" max="6916" min="6916" style="0" width="63.85"/>
    <col collapsed="false" customWidth="true" hidden="false" outlineLevel="0" max="7169" min="7169" style="0" width="30"/>
    <col collapsed="false" customWidth="true" hidden="false" outlineLevel="0" max="7170" min="7170" style="0" width="20.42"/>
    <col collapsed="false" customWidth="true" hidden="false" outlineLevel="0" max="7171" min="7171" style="0" width="13.57"/>
    <col collapsed="false" customWidth="true" hidden="false" outlineLevel="0" max="7172" min="7172" style="0" width="63.85"/>
    <col collapsed="false" customWidth="true" hidden="false" outlineLevel="0" max="7425" min="7425" style="0" width="30"/>
    <col collapsed="false" customWidth="true" hidden="false" outlineLevel="0" max="7426" min="7426" style="0" width="20.42"/>
    <col collapsed="false" customWidth="true" hidden="false" outlineLevel="0" max="7427" min="7427" style="0" width="13.57"/>
    <col collapsed="false" customWidth="true" hidden="false" outlineLevel="0" max="7428" min="7428" style="0" width="63.85"/>
    <col collapsed="false" customWidth="true" hidden="false" outlineLevel="0" max="7681" min="7681" style="0" width="30"/>
    <col collapsed="false" customWidth="true" hidden="false" outlineLevel="0" max="7682" min="7682" style="0" width="20.42"/>
    <col collapsed="false" customWidth="true" hidden="false" outlineLevel="0" max="7683" min="7683" style="0" width="13.57"/>
    <col collapsed="false" customWidth="true" hidden="false" outlineLevel="0" max="7684" min="7684" style="0" width="63.85"/>
    <col collapsed="false" customWidth="true" hidden="false" outlineLevel="0" max="7937" min="7937" style="0" width="30"/>
    <col collapsed="false" customWidth="true" hidden="false" outlineLevel="0" max="7938" min="7938" style="0" width="20.42"/>
    <col collapsed="false" customWidth="true" hidden="false" outlineLevel="0" max="7939" min="7939" style="0" width="13.57"/>
    <col collapsed="false" customWidth="true" hidden="false" outlineLevel="0" max="7940" min="7940" style="0" width="63.85"/>
    <col collapsed="false" customWidth="true" hidden="false" outlineLevel="0" max="8193" min="8193" style="0" width="30"/>
    <col collapsed="false" customWidth="true" hidden="false" outlineLevel="0" max="8194" min="8194" style="0" width="20.42"/>
    <col collapsed="false" customWidth="true" hidden="false" outlineLevel="0" max="8195" min="8195" style="0" width="13.57"/>
    <col collapsed="false" customWidth="true" hidden="false" outlineLevel="0" max="8196" min="8196" style="0" width="63.85"/>
    <col collapsed="false" customWidth="true" hidden="false" outlineLevel="0" max="8449" min="8449" style="0" width="30"/>
    <col collapsed="false" customWidth="true" hidden="false" outlineLevel="0" max="8450" min="8450" style="0" width="20.42"/>
    <col collapsed="false" customWidth="true" hidden="false" outlineLevel="0" max="8451" min="8451" style="0" width="13.57"/>
    <col collapsed="false" customWidth="true" hidden="false" outlineLevel="0" max="8452" min="8452" style="0" width="63.85"/>
    <col collapsed="false" customWidth="true" hidden="false" outlineLevel="0" max="8705" min="8705" style="0" width="30"/>
    <col collapsed="false" customWidth="true" hidden="false" outlineLevel="0" max="8706" min="8706" style="0" width="20.42"/>
    <col collapsed="false" customWidth="true" hidden="false" outlineLevel="0" max="8707" min="8707" style="0" width="13.57"/>
    <col collapsed="false" customWidth="true" hidden="false" outlineLevel="0" max="8708" min="8708" style="0" width="63.85"/>
    <col collapsed="false" customWidth="true" hidden="false" outlineLevel="0" max="8961" min="8961" style="0" width="30"/>
    <col collapsed="false" customWidth="true" hidden="false" outlineLevel="0" max="8962" min="8962" style="0" width="20.42"/>
    <col collapsed="false" customWidth="true" hidden="false" outlineLevel="0" max="8963" min="8963" style="0" width="13.57"/>
    <col collapsed="false" customWidth="true" hidden="false" outlineLevel="0" max="8964" min="8964" style="0" width="63.85"/>
    <col collapsed="false" customWidth="true" hidden="false" outlineLevel="0" max="9217" min="9217" style="0" width="30"/>
    <col collapsed="false" customWidth="true" hidden="false" outlineLevel="0" max="9218" min="9218" style="0" width="20.42"/>
    <col collapsed="false" customWidth="true" hidden="false" outlineLevel="0" max="9219" min="9219" style="0" width="13.57"/>
    <col collapsed="false" customWidth="true" hidden="false" outlineLevel="0" max="9220" min="9220" style="0" width="63.85"/>
    <col collapsed="false" customWidth="true" hidden="false" outlineLevel="0" max="9473" min="9473" style="0" width="30"/>
    <col collapsed="false" customWidth="true" hidden="false" outlineLevel="0" max="9474" min="9474" style="0" width="20.42"/>
    <col collapsed="false" customWidth="true" hidden="false" outlineLevel="0" max="9475" min="9475" style="0" width="13.57"/>
    <col collapsed="false" customWidth="true" hidden="false" outlineLevel="0" max="9476" min="9476" style="0" width="63.85"/>
    <col collapsed="false" customWidth="true" hidden="false" outlineLevel="0" max="9729" min="9729" style="0" width="30"/>
    <col collapsed="false" customWidth="true" hidden="false" outlineLevel="0" max="9730" min="9730" style="0" width="20.42"/>
    <col collapsed="false" customWidth="true" hidden="false" outlineLevel="0" max="9731" min="9731" style="0" width="13.57"/>
    <col collapsed="false" customWidth="true" hidden="false" outlineLevel="0" max="9732" min="9732" style="0" width="63.85"/>
    <col collapsed="false" customWidth="true" hidden="false" outlineLevel="0" max="9985" min="9985" style="0" width="30"/>
    <col collapsed="false" customWidth="true" hidden="false" outlineLevel="0" max="9986" min="9986" style="0" width="20.42"/>
    <col collapsed="false" customWidth="true" hidden="false" outlineLevel="0" max="9987" min="9987" style="0" width="13.57"/>
    <col collapsed="false" customWidth="true" hidden="false" outlineLevel="0" max="9988" min="9988" style="0" width="63.85"/>
    <col collapsed="false" customWidth="true" hidden="false" outlineLevel="0" max="10241" min="10241" style="0" width="30"/>
    <col collapsed="false" customWidth="true" hidden="false" outlineLevel="0" max="10242" min="10242" style="0" width="20.42"/>
    <col collapsed="false" customWidth="true" hidden="false" outlineLevel="0" max="10243" min="10243" style="0" width="13.57"/>
    <col collapsed="false" customWidth="true" hidden="false" outlineLevel="0" max="10244" min="10244" style="0" width="63.85"/>
    <col collapsed="false" customWidth="true" hidden="false" outlineLevel="0" max="10497" min="10497" style="0" width="30"/>
    <col collapsed="false" customWidth="true" hidden="false" outlineLevel="0" max="10498" min="10498" style="0" width="20.42"/>
    <col collapsed="false" customWidth="true" hidden="false" outlineLevel="0" max="10499" min="10499" style="0" width="13.57"/>
    <col collapsed="false" customWidth="true" hidden="false" outlineLevel="0" max="10500" min="10500" style="0" width="63.85"/>
    <col collapsed="false" customWidth="true" hidden="false" outlineLevel="0" max="10753" min="10753" style="0" width="30"/>
    <col collapsed="false" customWidth="true" hidden="false" outlineLevel="0" max="10754" min="10754" style="0" width="20.42"/>
    <col collapsed="false" customWidth="true" hidden="false" outlineLevel="0" max="10755" min="10755" style="0" width="13.57"/>
    <col collapsed="false" customWidth="true" hidden="false" outlineLevel="0" max="10756" min="10756" style="0" width="63.85"/>
    <col collapsed="false" customWidth="true" hidden="false" outlineLevel="0" max="11009" min="11009" style="0" width="30"/>
    <col collapsed="false" customWidth="true" hidden="false" outlineLevel="0" max="11010" min="11010" style="0" width="20.42"/>
    <col collapsed="false" customWidth="true" hidden="false" outlineLevel="0" max="11011" min="11011" style="0" width="13.57"/>
    <col collapsed="false" customWidth="true" hidden="false" outlineLevel="0" max="11012" min="11012" style="0" width="63.85"/>
    <col collapsed="false" customWidth="true" hidden="false" outlineLevel="0" max="11265" min="11265" style="0" width="30"/>
    <col collapsed="false" customWidth="true" hidden="false" outlineLevel="0" max="11266" min="11266" style="0" width="20.42"/>
    <col collapsed="false" customWidth="true" hidden="false" outlineLevel="0" max="11267" min="11267" style="0" width="13.57"/>
    <col collapsed="false" customWidth="true" hidden="false" outlineLevel="0" max="11268" min="11268" style="0" width="63.85"/>
    <col collapsed="false" customWidth="true" hidden="false" outlineLevel="0" max="11521" min="11521" style="0" width="30"/>
    <col collapsed="false" customWidth="true" hidden="false" outlineLevel="0" max="11522" min="11522" style="0" width="20.42"/>
    <col collapsed="false" customWidth="true" hidden="false" outlineLevel="0" max="11523" min="11523" style="0" width="13.57"/>
    <col collapsed="false" customWidth="true" hidden="false" outlineLevel="0" max="11524" min="11524" style="0" width="63.85"/>
    <col collapsed="false" customWidth="true" hidden="false" outlineLevel="0" max="11777" min="11777" style="0" width="30"/>
    <col collapsed="false" customWidth="true" hidden="false" outlineLevel="0" max="11778" min="11778" style="0" width="20.42"/>
    <col collapsed="false" customWidth="true" hidden="false" outlineLevel="0" max="11779" min="11779" style="0" width="13.57"/>
    <col collapsed="false" customWidth="true" hidden="false" outlineLevel="0" max="11780" min="11780" style="0" width="63.85"/>
    <col collapsed="false" customWidth="true" hidden="false" outlineLevel="0" max="12033" min="12033" style="0" width="30"/>
    <col collapsed="false" customWidth="true" hidden="false" outlineLevel="0" max="12034" min="12034" style="0" width="20.42"/>
    <col collapsed="false" customWidth="true" hidden="false" outlineLevel="0" max="12035" min="12035" style="0" width="13.57"/>
    <col collapsed="false" customWidth="true" hidden="false" outlineLevel="0" max="12036" min="12036" style="0" width="63.85"/>
    <col collapsed="false" customWidth="true" hidden="false" outlineLevel="0" max="12289" min="12289" style="0" width="30"/>
    <col collapsed="false" customWidth="true" hidden="false" outlineLevel="0" max="12290" min="12290" style="0" width="20.42"/>
    <col collapsed="false" customWidth="true" hidden="false" outlineLevel="0" max="12291" min="12291" style="0" width="13.57"/>
    <col collapsed="false" customWidth="true" hidden="false" outlineLevel="0" max="12292" min="12292" style="0" width="63.85"/>
    <col collapsed="false" customWidth="true" hidden="false" outlineLevel="0" max="12545" min="12545" style="0" width="30"/>
    <col collapsed="false" customWidth="true" hidden="false" outlineLevel="0" max="12546" min="12546" style="0" width="20.42"/>
    <col collapsed="false" customWidth="true" hidden="false" outlineLevel="0" max="12547" min="12547" style="0" width="13.57"/>
    <col collapsed="false" customWidth="true" hidden="false" outlineLevel="0" max="12548" min="12548" style="0" width="63.85"/>
    <col collapsed="false" customWidth="true" hidden="false" outlineLevel="0" max="12801" min="12801" style="0" width="30"/>
    <col collapsed="false" customWidth="true" hidden="false" outlineLevel="0" max="12802" min="12802" style="0" width="20.42"/>
    <col collapsed="false" customWidth="true" hidden="false" outlineLevel="0" max="12803" min="12803" style="0" width="13.57"/>
    <col collapsed="false" customWidth="true" hidden="false" outlineLevel="0" max="12804" min="12804" style="0" width="63.85"/>
    <col collapsed="false" customWidth="true" hidden="false" outlineLevel="0" max="13057" min="13057" style="0" width="30"/>
    <col collapsed="false" customWidth="true" hidden="false" outlineLevel="0" max="13058" min="13058" style="0" width="20.42"/>
    <col collapsed="false" customWidth="true" hidden="false" outlineLevel="0" max="13059" min="13059" style="0" width="13.57"/>
    <col collapsed="false" customWidth="true" hidden="false" outlineLevel="0" max="13060" min="13060" style="0" width="63.85"/>
    <col collapsed="false" customWidth="true" hidden="false" outlineLevel="0" max="13313" min="13313" style="0" width="30"/>
    <col collapsed="false" customWidth="true" hidden="false" outlineLevel="0" max="13314" min="13314" style="0" width="20.42"/>
    <col collapsed="false" customWidth="true" hidden="false" outlineLevel="0" max="13315" min="13315" style="0" width="13.57"/>
    <col collapsed="false" customWidth="true" hidden="false" outlineLevel="0" max="13316" min="13316" style="0" width="63.85"/>
    <col collapsed="false" customWidth="true" hidden="false" outlineLevel="0" max="13569" min="13569" style="0" width="30"/>
    <col collapsed="false" customWidth="true" hidden="false" outlineLevel="0" max="13570" min="13570" style="0" width="20.42"/>
    <col collapsed="false" customWidth="true" hidden="false" outlineLevel="0" max="13571" min="13571" style="0" width="13.57"/>
    <col collapsed="false" customWidth="true" hidden="false" outlineLevel="0" max="13572" min="13572" style="0" width="63.85"/>
    <col collapsed="false" customWidth="true" hidden="false" outlineLevel="0" max="13825" min="13825" style="0" width="30"/>
    <col collapsed="false" customWidth="true" hidden="false" outlineLevel="0" max="13826" min="13826" style="0" width="20.42"/>
    <col collapsed="false" customWidth="true" hidden="false" outlineLevel="0" max="13827" min="13827" style="0" width="13.57"/>
    <col collapsed="false" customWidth="true" hidden="false" outlineLevel="0" max="13828" min="13828" style="0" width="63.85"/>
    <col collapsed="false" customWidth="true" hidden="false" outlineLevel="0" max="14081" min="14081" style="0" width="30"/>
    <col collapsed="false" customWidth="true" hidden="false" outlineLevel="0" max="14082" min="14082" style="0" width="20.42"/>
    <col collapsed="false" customWidth="true" hidden="false" outlineLevel="0" max="14083" min="14083" style="0" width="13.57"/>
    <col collapsed="false" customWidth="true" hidden="false" outlineLevel="0" max="14084" min="14084" style="0" width="63.85"/>
    <col collapsed="false" customWidth="true" hidden="false" outlineLevel="0" max="14337" min="14337" style="0" width="30"/>
    <col collapsed="false" customWidth="true" hidden="false" outlineLevel="0" max="14338" min="14338" style="0" width="20.42"/>
    <col collapsed="false" customWidth="true" hidden="false" outlineLevel="0" max="14339" min="14339" style="0" width="13.57"/>
    <col collapsed="false" customWidth="true" hidden="false" outlineLevel="0" max="14340" min="14340" style="0" width="63.85"/>
    <col collapsed="false" customWidth="true" hidden="false" outlineLevel="0" max="14593" min="14593" style="0" width="30"/>
    <col collapsed="false" customWidth="true" hidden="false" outlineLevel="0" max="14594" min="14594" style="0" width="20.42"/>
    <col collapsed="false" customWidth="true" hidden="false" outlineLevel="0" max="14595" min="14595" style="0" width="13.57"/>
    <col collapsed="false" customWidth="true" hidden="false" outlineLevel="0" max="14596" min="14596" style="0" width="63.85"/>
    <col collapsed="false" customWidth="true" hidden="false" outlineLevel="0" max="14849" min="14849" style="0" width="30"/>
    <col collapsed="false" customWidth="true" hidden="false" outlineLevel="0" max="14850" min="14850" style="0" width="20.42"/>
    <col collapsed="false" customWidth="true" hidden="false" outlineLevel="0" max="14851" min="14851" style="0" width="13.57"/>
    <col collapsed="false" customWidth="true" hidden="false" outlineLevel="0" max="14852" min="14852" style="0" width="63.85"/>
    <col collapsed="false" customWidth="true" hidden="false" outlineLevel="0" max="15105" min="15105" style="0" width="30"/>
    <col collapsed="false" customWidth="true" hidden="false" outlineLevel="0" max="15106" min="15106" style="0" width="20.42"/>
    <col collapsed="false" customWidth="true" hidden="false" outlineLevel="0" max="15107" min="15107" style="0" width="13.57"/>
    <col collapsed="false" customWidth="true" hidden="false" outlineLevel="0" max="15108" min="15108" style="0" width="63.85"/>
    <col collapsed="false" customWidth="true" hidden="false" outlineLevel="0" max="15361" min="15361" style="0" width="30"/>
    <col collapsed="false" customWidth="true" hidden="false" outlineLevel="0" max="15362" min="15362" style="0" width="20.42"/>
    <col collapsed="false" customWidth="true" hidden="false" outlineLevel="0" max="15363" min="15363" style="0" width="13.57"/>
    <col collapsed="false" customWidth="true" hidden="false" outlineLevel="0" max="15364" min="15364" style="0" width="63.85"/>
    <col collapsed="false" customWidth="true" hidden="false" outlineLevel="0" max="15617" min="15617" style="0" width="30"/>
    <col collapsed="false" customWidth="true" hidden="false" outlineLevel="0" max="15618" min="15618" style="0" width="20.42"/>
    <col collapsed="false" customWidth="true" hidden="false" outlineLevel="0" max="15619" min="15619" style="0" width="13.57"/>
    <col collapsed="false" customWidth="true" hidden="false" outlineLevel="0" max="15620" min="15620" style="0" width="63.85"/>
    <col collapsed="false" customWidth="true" hidden="false" outlineLevel="0" max="15873" min="15873" style="0" width="30"/>
    <col collapsed="false" customWidth="true" hidden="false" outlineLevel="0" max="15874" min="15874" style="0" width="20.42"/>
    <col collapsed="false" customWidth="true" hidden="false" outlineLevel="0" max="15875" min="15875" style="0" width="13.57"/>
    <col collapsed="false" customWidth="true" hidden="false" outlineLevel="0" max="15876" min="15876" style="0" width="63.85"/>
    <col collapsed="false" customWidth="true" hidden="false" outlineLevel="0" max="16129" min="16129" style="0" width="30"/>
    <col collapsed="false" customWidth="true" hidden="false" outlineLevel="0" max="16130" min="16130" style="0" width="20.42"/>
    <col collapsed="false" customWidth="true" hidden="false" outlineLevel="0" max="16131" min="16131" style="0" width="13.57"/>
    <col collapsed="false" customWidth="true" hidden="false" outlineLevel="0" max="16132" min="16132" style="0" width="63.85"/>
  </cols>
  <sheetData>
    <row r="1" customFormat="false" ht="12.75" hidden="false" customHeight="false" outlineLevel="0" collapsed="false">
      <c r="A1" s="304"/>
      <c r="B1" s="305"/>
      <c r="C1" s="305"/>
      <c r="D1" s="305"/>
    </row>
    <row r="2" customFormat="false" ht="24" hidden="false" customHeight="false" outlineLevel="0" collapsed="false">
      <c r="A2" s="306" t="s">
        <v>284</v>
      </c>
      <c r="B2" s="307" t="s">
        <v>285</v>
      </c>
      <c r="C2" s="308" t="s">
        <v>286</v>
      </c>
      <c r="D2" s="309" t="s">
        <v>287</v>
      </c>
    </row>
    <row r="3" customFormat="false" ht="12.75" hidden="false" customHeight="true" outlineLevel="0" collapsed="false">
      <c r="A3" s="310" t="s">
        <v>288</v>
      </c>
      <c r="B3" s="311" t="s">
        <v>289</v>
      </c>
      <c r="C3" s="311"/>
      <c r="D3" s="311"/>
    </row>
    <row r="4" customFormat="false" ht="12.75" hidden="false" customHeight="true" outlineLevel="0" collapsed="false">
      <c r="A4" s="310" t="s">
        <v>290</v>
      </c>
      <c r="B4" s="311" t="s">
        <v>291</v>
      </c>
      <c r="C4" s="311"/>
      <c r="D4" s="311"/>
    </row>
    <row r="5" customFormat="false" ht="24" hidden="false" customHeight="false" outlineLevel="0" collapsed="false">
      <c r="A5" s="310" t="s">
        <v>292</v>
      </c>
      <c r="B5" s="312" t="s">
        <v>293</v>
      </c>
      <c r="C5" s="313" t="s">
        <v>294</v>
      </c>
      <c r="D5" s="313" t="s">
        <v>295</v>
      </c>
    </row>
    <row r="6" customFormat="false" ht="12.75" hidden="false" customHeight="true" outlineLevel="0" collapsed="false">
      <c r="A6" s="310" t="s">
        <v>296</v>
      </c>
      <c r="B6" s="314" t="s">
        <v>297</v>
      </c>
      <c r="C6" s="314"/>
      <c r="D6" s="314"/>
    </row>
    <row r="7" customFormat="false" ht="12.75" hidden="false" customHeight="false" outlineLevel="0" collapsed="false">
      <c r="A7" s="310"/>
      <c r="B7" s="305"/>
      <c r="C7" s="305"/>
      <c r="D7" s="315"/>
    </row>
    <row r="8" customFormat="false" ht="12.75" hidden="false" customHeight="false" outlineLevel="0" collapsed="false">
      <c r="A8" s="310" t="s">
        <v>298</v>
      </c>
      <c r="B8" s="305" t="s">
        <v>299</v>
      </c>
      <c r="C8" s="305"/>
      <c r="D8" s="315"/>
    </row>
    <row r="9" customFormat="false" ht="12.75" hidden="false" customHeight="false" outlineLevel="0" collapsed="false">
      <c r="A9" s="310" t="s">
        <v>300</v>
      </c>
      <c r="B9" s="316"/>
      <c r="C9" s="312"/>
      <c r="D9" s="311"/>
    </row>
    <row r="10" customFormat="false" ht="12.75" hidden="false" customHeight="false" outlineLevel="0" collapsed="false">
      <c r="A10" s="310" t="s">
        <v>301</v>
      </c>
      <c r="B10" s="317"/>
      <c r="C10" s="317"/>
      <c r="D10" s="317"/>
    </row>
    <row r="11" customFormat="false" ht="12.75" hidden="false" customHeight="false" outlineLevel="0" collapsed="false">
      <c r="A11" s="310"/>
      <c r="B11" s="305"/>
      <c r="C11" s="305"/>
      <c r="D11" s="315"/>
    </row>
    <row r="12" customFormat="false" ht="24" hidden="false" customHeight="false" outlineLevel="0" collapsed="false">
      <c r="A12" s="310" t="s">
        <v>302</v>
      </c>
      <c r="B12" s="305" t="s">
        <v>303</v>
      </c>
      <c r="C12" s="318" t="s">
        <v>304</v>
      </c>
      <c r="D12" s="315" t="s">
        <v>305</v>
      </c>
      <c r="E12" s="319"/>
    </row>
    <row r="13" customFormat="false" ht="12.75" hidden="false" customHeight="false" outlineLevel="0" collapsed="false">
      <c r="A13" s="310"/>
      <c r="B13" s="305" t="s">
        <v>306</v>
      </c>
      <c r="C13" s="305"/>
      <c r="D13" s="315"/>
    </row>
    <row r="14" customFormat="false" ht="12.75" hidden="false" customHeight="false" outlineLevel="0" collapsed="false">
      <c r="A14" s="310"/>
      <c r="B14" s="320" t="s">
        <v>307</v>
      </c>
      <c r="C14" s="321"/>
      <c r="D14" s="315"/>
    </row>
    <row r="15" customFormat="false" ht="12.75" hidden="false" customHeight="false" outlineLevel="0" collapsed="false">
      <c r="A15" s="310"/>
      <c r="B15" s="305" t="s">
        <v>308</v>
      </c>
      <c r="C15" s="322"/>
      <c r="D15" s="323"/>
    </row>
    <row r="16" customFormat="false" ht="12.75" hidden="false" customHeight="false" outlineLevel="0" collapsed="false">
      <c r="A16" s="310"/>
      <c r="B16" s="320" t="s">
        <v>309</v>
      </c>
      <c r="C16" s="305"/>
      <c r="D16" s="315"/>
    </row>
    <row r="17" customFormat="false" ht="12.75" hidden="false" customHeight="true" outlineLevel="0" collapsed="false">
      <c r="A17" s="310"/>
      <c r="B17" s="324" t="s">
        <v>310</v>
      </c>
      <c r="C17" s="324"/>
      <c r="D17" s="324"/>
    </row>
    <row r="18" customFormat="false" ht="12.75" hidden="false" customHeight="false" outlineLevel="0" collapsed="false">
      <c r="A18" s="310"/>
      <c r="B18" s="324"/>
      <c r="C18" s="324"/>
      <c r="D18" s="324"/>
    </row>
    <row r="19" customFormat="false" ht="12.75" hidden="false" customHeight="false" outlineLevel="0" collapsed="false">
      <c r="A19" s="310"/>
      <c r="B19" s="325"/>
      <c r="C19" s="325"/>
      <c r="D19" s="326"/>
    </row>
    <row r="20" customFormat="false" ht="12.75" hidden="false" customHeight="false" outlineLevel="0" collapsed="false">
      <c r="A20" s="317"/>
      <c r="B20" s="305" t="s">
        <v>311</v>
      </c>
      <c r="C20" s="305"/>
      <c r="D20" s="315"/>
    </row>
    <row r="21" customFormat="false" ht="12.75" hidden="false" customHeight="false" outlineLevel="0" collapsed="false">
      <c r="A21" s="317"/>
      <c r="B21" s="305" t="s">
        <v>312</v>
      </c>
      <c r="C21" s="305"/>
      <c r="D21" s="315"/>
    </row>
    <row r="22" customFormat="false" ht="12.75" hidden="false" customHeight="false" outlineLevel="0" collapsed="false">
      <c r="A22" s="310"/>
      <c r="B22" s="305" t="s">
        <v>313</v>
      </c>
      <c r="C22" s="305"/>
      <c r="D22" s="315"/>
    </row>
    <row r="23" customFormat="false" ht="12.75" hidden="false" customHeight="true" outlineLevel="0" collapsed="false">
      <c r="A23" s="310" t="s">
        <v>314</v>
      </c>
      <c r="B23" s="327" t="s">
        <v>315</v>
      </c>
      <c r="C23" s="327"/>
      <c r="D23" s="327"/>
    </row>
    <row r="24" customFormat="false" ht="12.75" hidden="false" customHeight="false" outlineLevel="0" collapsed="false">
      <c r="A24" s="317"/>
      <c r="B24" s="327"/>
      <c r="C24" s="327"/>
      <c r="D24" s="327"/>
    </row>
    <row r="25" customFormat="false" ht="12.75" hidden="false" customHeight="true" outlineLevel="0" collapsed="false">
      <c r="A25" s="310" t="s">
        <v>316</v>
      </c>
      <c r="B25" s="328" t="s">
        <v>317</v>
      </c>
      <c r="C25" s="328"/>
      <c r="D25" s="328"/>
    </row>
    <row r="26" customFormat="false" ht="12.75" hidden="false" customHeight="false" outlineLevel="0" collapsed="false">
      <c r="A26" s="329"/>
      <c r="B26" s="328"/>
      <c r="C26" s="328"/>
      <c r="D26" s="328"/>
    </row>
  </sheetData>
  <mergeCells count="7">
    <mergeCell ref="B3:D3"/>
    <mergeCell ref="B4:D4"/>
    <mergeCell ref="B6:D6"/>
    <mergeCell ref="B10:D10"/>
    <mergeCell ref="B17:D18"/>
    <mergeCell ref="B23:D24"/>
    <mergeCell ref="B25:D26"/>
  </mergeCells>
  <hyperlinks>
    <hyperlink ref="B6" r:id="rId1" display="cesotomayor@policia.pr.gov"/>
    <hyperlink ref="C12" r:id="rId2" display="porta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0"/>
  <sheetViews>
    <sheetView showFormulas="false" showGridLines="true" showRowColHeaders="true" showZeros="true" rightToLeft="false" tabSelected="false" showOutlineSymbols="true" defaultGridColor="true" view="pageBreakPreview" topLeftCell="A1" colorId="64" zoomScale="65" zoomScaleNormal="100" zoomScalePageLayoutView="65" workbookViewId="0">
      <selection pane="topLeft" activeCell="M6" activeCellId="0" sqref="M6"/>
    </sheetView>
  </sheetViews>
  <sheetFormatPr defaultColWidth="9.1484375" defaultRowHeight="16.5" zeroHeight="false" outlineLevelRow="0" outlineLevelCol="0"/>
  <cols>
    <col collapsed="false" customWidth="true" hidden="false" outlineLevel="0" max="1" min="1" style="330" width="13.57"/>
    <col collapsed="false" customWidth="false" hidden="false" outlineLevel="0" max="8" min="2" style="330" width="9.14"/>
    <col collapsed="false" customWidth="true" hidden="false" outlineLevel="0" max="9" min="9" style="330" width="27"/>
    <col collapsed="false" customWidth="true" hidden="false" outlineLevel="0" max="10" min="10" style="330" width="11.29"/>
    <col collapsed="false" customWidth="false" hidden="false" outlineLevel="0" max="256" min="11" style="330" width="9.14"/>
    <col collapsed="false" customWidth="true" hidden="false" outlineLevel="0" max="257" min="257" style="330" width="13.57"/>
    <col collapsed="false" customWidth="false" hidden="false" outlineLevel="0" max="264" min="258" style="330" width="9.14"/>
    <col collapsed="false" customWidth="true" hidden="false" outlineLevel="0" max="265" min="265" style="330" width="27"/>
    <col collapsed="false" customWidth="true" hidden="false" outlineLevel="0" max="266" min="266" style="330" width="11.29"/>
    <col collapsed="false" customWidth="false" hidden="false" outlineLevel="0" max="512" min="267" style="330" width="9.14"/>
    <col collapsed="false" customWidth="true" hidden="false" outlineLevel="0" max="513" min="513" style="330" width="13.57"/>
    <col collapsed="false" customWidth="false" hidden="false" outlineLevel="0" max="520" min="514" style="330" width="9.14"/>
    <col collapsed="false" customWidth="true" hidden="false" outlineLevel="0" max="521" min="521" style="330" width="27"/>
    <col collapsed="false" customWidth="true" hidden="false" outlineLevel="0" max="522" min="522" style="330" width="11.29"/>
    <col collapsed="false" customWidth="false" hidden="false" outlineLevel="0" max="768" min="523" style="330" width="9.14"/>
    <col collapsed="false" customWidth="true" hidden="false" outlineLevel="0" max="769" min="769" style="330" width="13.57"/>
    <col collapsed="false" customWidth="false" hidden="false" outlineLevel="0" max="776" min="770" style="330" width="9.14"/>
    <col collapsed="false" customWidth="true" hidden="false" outlineLevel="0" max="777" min="777" style="330" width="27"/>
    <col collapsed="false" customWidth="true" hidden="false" outlineLevel="0" max="778" min="778" style="330" width="11.29"/>
    <col collapsed="false" customWidth="false" hidden="false" outlineLevel="0" max="1024" min="779" style="330" width="9.14"/>
    <col collapsed="false" customWidth="true" hidden="false" outlineLevel="0" max="1025" min="1025" style="330" width="13.57"/>
    <col collapsed="false" customWidth="false" hidden="false" outlineLevel="0" max="1032" min="1026" style="330" width="9.14"/>
    <col collapsed="false" customWidth="true" hidden="false" outlineLevel="0" max="1033" min="1033" style="330" width="27"/>
    <col collapsed="false" customWidth="true" hidden="false" outlineLevel="0" max="1034" min="1034" style="330" width="11.29"/>
    <col collapsed="false" customWidth="false" hidden="false" outlineLevel="0" max="1280" min="1035" style="330" width="9.14"/>
    <col collapsed="false" customWidth="true" hidden="false" outlineLevel="0" max="1281" min="1281" style="330" width="13.57"/>
    <col collapsed="false" customWidth="false" hidden="false" outlineLevel="0" max="1288" min="1282" style="330" width="9.14"/>
    <col collapsed="false" customWidth="true" hidden="false" outlineLevel="0" max="1289" min="1289" style="330" width="27"/>
    <col collapsed="false" customWidth="true" hidden="false" outlineLevel="0" max="1290" min="1290" style="330" width="11.29"/>
    <col collapsed="false" customWidth="false" hidden="false" outlineLevel="0" max="1536" min="1291" style="330" width="9.14"/>
    <col collapsed="false" customWidth="true" hidden="false" outlineLevel="0" max="1537" min="1537" style="330" width="13.57"/>
    <col collapsed="false" customWidth="false" hidden="false" outlineLevel="0" max="1544" min="1538" style="330" width="9.14"/>
    <col collapsed="false" customWidth="true" hidden="false" outlineLevel="0" max="1545" min="1545" style="330" width="27"/>
    <col collapsed="false" customWidth="true" hidden="false" outlineLevel="0" max="1546" min="1546" style="330" width="11.29"/>
    <col collapsed="false" customWidth="false" hidden="false" outlineLevel="0" max="1792" min="1547" style="330" width="9.14"/>
    <col collapsed="false" customWidth="true" hidden="false" outlineLevel="0" max="1793" min="1793" style="330" width="13.57"/>
    <col collapsed="false" customWidth="false" hidden="false" outlineLevel="0" max="1800" min="1794" style="330" width="9.14"/>
    <col collapsed="false" customWidth="true" hidden="false" outlineLevel="0" max="1801" min="1801" style="330" width="27"/>
    <col collapsed="false" customWidth="true" hidden="false" outlineLevel="0" max="1802" min="1802" style="330" width="11.29"/>
    <col collapsed="false" customWidth="false" hidden="false" outlineLevel="0" max="2048" min="1803" style="330" width="9.14"/>
    <col collapsed="false" customWidth="true" hidden="false" outlineLevel="0" max="2049" min="2049" style="330" width="13.57"/>
    <col collapsed="false" customWidth="false" hidden="false" outlineLevel="0" max="2056" min="2050" style="330" width="9.14"/>
    <col collapsed="false" customWidth="true" hidden="false" outlineLevel="0" max="2057" min="2057" style="330" width="27"/>
    <col collapsed="false" customWidth="true" hidden="false" outlineLevel="0" max="2058" min="2058" style="330" width="11.29"/>
    <col collapsed="false" customWidth="false" hidden="false" outlineLevel="0" max="2304" min="2059" style="330" width="9.14"/>
    <col collapsed="false" customWidth="true" hidden="false" outlineLevel="0" max="2305" min="2305" style="330" width="13.57"/>
    <col collapsed="false" customWidth="false" hidden="false" outlineLevel="0" max="2312" min="2306" style="330" width="9.14"/>
    <col collapsed="false" customWidth="true" hidden="false" outlineLevel="0" max="2313" min="2313" style="330" width="27"/>
    <col collapsed="false" customWidth="true" hidden="false" outlineLevel="0" max="2314" min="2314" style="330" width="11.29"/>
    <col collapsed="false" customWidth="false" hidden="false" outlineLevel="0" max="2560" min="2315" style="330" width="9.14"/>
    <col collapsed="false" customWidth="true" hidden="false" outlineLevel="0" max="2561" min="2561" style="330" width="13.57"/>
    <col collapsed="false" customWidth="false" hidden="false" outlineLevel="0" max="2568" min="2562" style="330" width="9.14"/>
    <col collapsed="false" customWidth="true" hidden="false" outlineLevel="0" max="2569" min="2569" style="330" width="27"/>
    <col collapsed="false" customWidth="true" hidden="false" outlineLevel="0" max="2570" min="2570" style="330" width="11.29"/>
    <col collapsed="false" customWidth="false" hidden="false" outlineLevel="0" max="2816" min="2571" style="330" width="9.14"/>
    <col collapsed="false" customWidth="true" hidden="false" outlineLevel="0" max="2817" min="2817" style="330" width="13.57"/>
    <col collapsed="false" customWidth="false" hidden="false" outlineLevel="0" max="2824" min="2818" style="330" width="9.14"/>
    <col collapsed="false" customWidth="true" hidden="false" outlineLevel="0" max="2825" min="2825" style="330" width="27"/>
    <col collapsed="false" customWidth="true" hidden="false" outlineLevel="0" max="2826" min="2826" style="330" width="11.29"/>
    <col collapsed="false" customWidth="false" hidden="false" outlineLevel="0" max="3072" min="2827" style="330" width="9.14"/>
    <col collapsed="false" customWidth="true" hidden="false" outlineLevel="0" max="3073" min="3073" style="330" width="13.57"/>
    <col collapsed="false" customWidth="false" hidden="false" outlineLevel="0" max="3080" min="3074" style="330" width="9.14"/>
    <col collapsed="false" customWidth="true" hidden="false" outlineLevel="0" max="3081" min="3081" style="330" width="27"/>
    <col collapsed="false" customWidth="true" hidden="false" outlineLevel="0" max="3082" min="3082" style="330" width="11.29"/>
    <col collapsed="false" customWidth="false" hidden="false" outlineLevel="0" max="3328" min="3083" style="330" width="9.14"/>
    <col collapsed="false" customWidth="true" hidden="false" outlineLevel="0" max="3329" min="3329" style="330" width="13.57"/>
    <col collapsed="false" customWidth="false" hidden="false" outlineLevel="0" max="3336" min="3330" style="330" width="9.14"/>
    <col collapsed="false" customWidth="true" hidden="false" outlineLevel="0" max="3337" min="3337" style="330" width="27"/>
    <col collapsed="false" customWidth="true" hidden="false" outlineLevel="0" max="3338" min="3338" style="330" width="11.29"/>
    <col collapsed="false" customWidth="false" hidden="false" outlineLevel="0" max="3584" min="3339" style="330" width="9.14"/>
    <col collapsed="false" customWidth="true" hidden="false" outlineLevel="0" max="3585" min="3585" style="330" width="13.57"/>
    <col collapsed="false" customWidth="false" hidden="false" outlineLevel="0" max="3592" min="3586" style="330" width="9.14"/>
    <col collapsed="false" customWidth="true" hidden="false" outlineLevel="0" max="3593" min="3593" style="330" width="27"/>
    <col collapsed="false" customWidth="true" hidden="false" outlineLevel="0" max="3594" min="3594" style="330" width="11.29"/>
    <col collapsed="false" customWidth="false" hidden="false" outlineLevel="0" max="3840" min="3595" style="330" width="9.14"/>
    <col collapsed="false" customWidth="true" hidden="false" outlineLevel="0" max="3841" min="3841" style="330" width="13.57"/>
    <col collapsed="false" customWidth="false" hidden="false" outlineLevel="0" max="3848" min="3842" style="330" width="9.14"/>
    <col collapsed="false" customWidth="true" hidden="false" outlineLevel="0" max="3849" min="3849" style="330" width="27"/>
    <col collapsed="false" customWidth="true" hidden="false" outlineLevel="0" max="3850" min="3850" style="330" width="11.29"/>
    <col collapsed="false" customWidth="false" hidden="false" outlineLevel="0" max="4096" min="3851" style="330" width="9.14"/>
    <col collapsed="false" customWidth="true" hidden="false" outlineLevel="0" max="4097" min="4097" style="330" width="13.57"/>
    <col collapsed="false" customWidth="false" hidden="false" outlineLevel="0" max="4104" min="4098" style="330" width="9.14"/>
    <col collapsed="false" customWidth="true" hidden="false" outlineLevel="0" max="4105" min="4105" style="330" width="27"/>
    <col collapsed="false" customWidth="true" hidden="false" outlineLevel="0" max="4106" min="4106" style="330" width="11.29"/>
    <col collapsed="false" customWidth="false" hidden="false" outlineLevel="0" max="4352" min="4107" style="330" width="9.14"/>
    <col collapsed="false" customWidth="true" hidden="false" outlineLevel="0" max="4353" min="4353" style="330" width="13.57"/>
    <col collapsed="false" customWidth="false" hidden="false" outlineLevel="0" max="4360" min="4354" style="330" width="9.14"/>
    <col collapsed="false" customWidth="true" hidden="false" outlineLevel="0" max="4361" min="4361" style="330" width="27"/>
    <col collapsed="false" customWidth="true" hidden="false" outlineLevel="0" max="4362" min="4362" style="330" width="11.29"/>
    <col collapsed="false" customWidth="false" hidden="false" outlineLevel="0" max="4608" min="4363" style="330" width="9.14"/>
    <col collapsed="false" customWidth="true" hidden="false" outlineLevel="0" max="4609" min="4609" style="330" width="13.57"/>
    <col collapsed="false" customWidth="false" hidden="false" outlineLevel="0" max="4616" min="4610" style="330" width="9.14"/>
    <col collapsed="false" customWidth="true" hidden="false" outlineLevel="0" max="4617" min="4617" style="330" width="27"/>
    <col collapsed="false" customWidth="true" hidden="false" outlineLevel="0" max="4618" min="4618" style="330" width="11.29"/>
    <col collapsed="false" customWidth="false" hidden="false" outlineLevel="0" max="4864" min="4619" style="330" width="9.14"/>
    <col collapsed="false" customWidth="true" hidden="false" outlineLevel="0" max="4865" min="4865" style="330" width="13.57"/>
    <col collapsed="false" customWidth="false" hidden="false" outlineLevel="0" max="4872" min="4866" style="330" width="9.14"/>
    <col collapsed="false" customWidth="true" hidden="false" outlineLevel="0" max="4873" min="4873" style="330" width="27"/>
    <col collapsed="false" customWidth="true" hidden="false" outlineLevel="0" max="4874" min="4874" style="330" width="11.29"/>
    <col collapsed="false" customWidth="false" hidden="false" outlineLevel="0" max="5120" min="4875" style="330" width="9.14"/>
    <col collapsed="false" customWidth="true" hidden="false" outlineLevel="0" max="5121" min="5121" style="330" width="13.57"/>
    <col collapsed="false" customWidth="false" hidden="false" outlineLevel="0" max="5128" min="5122" style="330" width="9.14"/>
    <col collapsed="false" customWidth="true" hidden="false" outlineLevel="0" max="5129" min="5129" style="330" width="27"/>
    <col collapsed="false" customWidth="true" hidden="false" outlineLevel="0" max="5130" min="5130" style="330" width="11.29"/>
    <col collapsed="false" customWidth="false" hidden="false" outlineLevel="0" max="5376" min="5131" style="330" width="9.14"/>
    <col collapsed="false" customWidth="true" hidden="false" outlineLevel="0" max="5377" min="5377" style="330" width="13.57"/>
    <col collapsed="false" customWidth="false" hidden="false" outlineLevel="0" max="5384" min="5378" style="330" width="9.14"/>
    <col collapsed="false" customWidth="true" hidden="false" outlineLevel="0" max="5385" min="5385" style="330" width="27"/>
    <col collapsed="false" customWidth="true" hidden="false" outlineLevel="0" max="5386" min="5386" style="330" width="11.29"/>
    <col collapsed="false" customWidth="false" hidden="false" outlineLevel="0" max="5632" min="5387" style="330" width="9.14"/>
    <col collapsed="false" customWidth="true" hidden="false" outlineLevel="0" max="5633" min="5633" style="330" width="13.57"/>
    <col collapsed="false" customWidth="false" hidden="false" outlineLevel="0" max="5640" min="5634" style="330" width="9.14"/>
    <col collapsed="false" customWidth="true" hidden="false" outlineLevel="0" max="5641" min="5641" style="330" width="27"/>
    <col collapsed="false" customWidth="true" hidden="false" outlineLevel="0" max="5642" min="5642" style="330" width="11.29"/>
    <col collapsed="false" customWidth="false" hidden="false" outlineLevel="0" max="5888" min="5643" style="330" width="9.14"/>
    <col collapsed="false" customWidth="true" hidden="false" outlineLevel="0" max="5889" min="5889" style="330" width="13.57"/>
    <col collapsed="false" customWidth="false" hidden="false" outlineLevel="0" max="5896" min="5890" style="330" width="9.14"/>
    <col collapsed="false" customWidth="true" hidden="false" outlineLevel="0" max="5897" min="5897" style="330" width="27"/>
    <col collapsed="false" customWidth="true" hidden="false" outlineLevel="0" max="5898" min="5898" style="330" width="11.29"/>
    <col collapsed="false" customWidth="false" hidden="false" outlineLevel="0" max="6144" min="5899" style="330" width="9.14"/>
    <col collapsed="false" customWidth="true" hidden="false" outlineLevel="0" max="6145" min="6145" style="330" width="13.57"/>
    <col collapsed="false" customWidth="false" hidden="false" outlineLevel="0" max="6152" min="6146" style="330" width="9.14"/>
    <col collapsed="false" customWidth="true" hidden="false" outlineLevel="0" max="6153" min="6153" style="330" width="27"/>
    <col collapsed="false" customWidth="true" hidden="false" outlineLevel="0" max="6154" min="6154" style="330" width="11.29"/>
    <col collapsed="false" customWidth="false" hidden="false" outlineLevel="0" max="6400" min="6155" style="330" width="9.14"/>
    <col collapsed="false" customWidth="true" hidden="false" outlineLevel="0" max="6401" min="6401" style="330" width="13.57"/>
    <col collapsed="false" customWidth="false" hidden="false" outlineLevel="0" max="6408" min="6402" style="330" width="9.14"/>
    <col collapsed="false" customWidth="true" hidden="false" outlineLevel="0" max="6409" min="6409" style="330" width="27"/>
    <col collapsed="false" customWidth="true" hidden="false" outlineLevel="0" max="6410" min="6410" style="330" width="11.29"/>
    <col collapsed="false" customWidth="false" hidden="false" outlineLevel="0" max="6656" min="6411" style="330" width="9.14"/>
    <col collapsed="false" customWidth="true" hidden="false" outlineLevel="0" max="6657" min="6657" style="330" width="13.57"/>
    <col collapsed="false" customWidth="false" hidden="false" outlineLevel="0" max="6664" min="6658" style="330" width="9.14"/>
    <col collapsed="false" customWidth="true" hidden="false" outlineLevel="0" max="6665" min="6665" style="330" width="27"/>
    <col collapsed="false" customWidth="true" hidden="false" outlineLevel="0" max="6666" min="6666" style="330" width="11.29"/>
    <col collapsed="false" customWidth="false" hidden="false" outlineLevel="0" max="6912" min="6667" style="330" width="9.14"/>
    <col collapsed="false" customWidth="true" hidden="false" outlineLevel="0" max="6913" min="6913" style="330" width="13.57"/>
    <col collapsed="false" customWidth="false" hidden="false" outlineLevel="0" max="6920" min="6914" style="330" width="9.14"/>
    <col collapsed="false" customWidth="true" hidden="false" outlineLevel="0" max="6921" min="6921" style="330" width="27"/>
    <col collapsed="false" customWidth="true" hidden="false" outlineLevel="0" max="6922" min="6922" style="330" width="11.29"/>
    <col collapsed="false" customWidth="false" hidden="false" outlineLevel="0" max="7168" min="6923" style="330" width="9.14"/>
    <col collapsed="false" customWidth="true" hidden="false" outlineLevel="0" max="7169" min="7169" style="330" width="13.57"/>
    <col collapsed="false" customWidth="false" hidden="false" outlineLevel="0" max="7176" min="7170" style="330" width="9.14"/>
    <col collapsed="false" customWidth="true" hidden="false" outlineLevel="0" max="7177" min="7177" style="330" width="27"/>
    <col collapsed="false" customWidth="true" hidden="false" outlineLevel="0" max="7178" min="7178" style="330" width="11.29"/>
    <col collapsed="false" customWidth="false" hidden="false" outlineLevel="0" max="7424" min="7179" style="330" width="9.14"/>
    <col collapsed="false" customWidth="true" hidden="false" outlineLevel="0" max="7425" min="7425" style="330" width="13.57"/>
    <col collapsed="false" customWidth="false" hidden="false" outlineLevel="0" max="7432" min="7426" style="330" width="9.14"/>
    <col collapsed="false" customWidth="true" hidden="false" outlineLevel="0" max="7433" min="7433" style="330" width="27"/>
    <col collapsed="false" customWidth="true" hidden="false" outlineLevel="0" max="7434" min="7434" style="330" width="11.29"/>
    <col collapsed="false" customWidth="false" hidden="false" outlineLevel="0" max="7680" min="7435" style="330" width="9.14"/>
    <col collapsed="false" customWidth="true" hidden="false" outlineLevel="0" max="7681" min="7681" style="330" width="13.57"/>
    <col collapsed="false" customWidth="false" hidden="false" outlineLevel="0" max="7688" min="7682" style="330" width="9.14"/>
    <col collapsed="false" customWidth="true" hidden="false" outlineLevel="0" max="7689" min="7689" style="330" width="27"/>
    <col collapsed="false" customWidth="true" hidden="false" outlineLevel="0" max="7690" min="7690" style="330" width="11.29"/>
    <col collapsed="false" customWidth="false" hidden="false" outlineLevel="0" max="7936" min="7691" style="330" width="9.14"/>
    <col collapsed="false" customWidth="true" hidden="false" outlineLevel="0" max="7937" min="7937" style="330" width="13.57"/>
    <col collapsed="false" customWidth="false" hidden="false" outlineLevel="0" max="7944" min="7938" style="330" width="9.14"/>
    <col collapsed="false" customWidth="true" hidden="false" outlineLevel="0" max="7945" min="7945" style="330" width="27"/>
    <col collapsed="false" customWidth="true" hidden="false" outlineLevel="0" max="7946" min="7946" style="330" width="11.29"/>
    <col collapsed="false" customWidth="false" hidden="false" outlineLevel="0" max="8192" min="7947" style="330" width="9.14"/>
    <col collapsed="false" customWidth="true" hidden="false" outlineLevel="0" max="8193" min="8193" style="330" width="13.57"/>
    <col collapsed="false" customWidth="false" hidden="false" outlineLevel="0" max="8200" min="8194" style="330" width="9.14"/>
    <col collapsed="false" customWidth="true" hidden="false" outlineLevel="0" max="8201" min="8201" style="330" width="27"/>
    <col collapsed="false" customWidth="true" hidden="false" outlineLevel="0" max="8202" min="8202" style="330" width="11.29"/>
    <col collapsed="false" customWidth="false" hidden="false" outlineLevel="0" max="8448" min="8203" style="330" width="9.14"/>
    <col collapsed="false" customWidth="true" hidden="false" outlineLevel="0" max="8449" min="8449" style="330" width="13.57"/>
    <col collapsed="false" customWidth="false" hidden="false" outlineLevel="0" max="8456" min="8450" style="330" width="9.14"/>
    <col collapsed="false" customWidth="true" hidden="false" outlineLevel="0" max="8457" min="8457" style="330" width="27"/>
    <col collapsed="false" customWidth="true" hidden="false" outlineLevel="0" max="8458" min="8458" style="330" width="11.29"/>
    <col collapsed="false" customWidth="false" hidden="false" outlineLevel="0" max="8704" min="8459" style="330" width="9.14"/>
    <col collapsed="false" customWidth="true" hidden="false" outlineLevel="0" max="8705" min="8705" style="330" width="13.57"/>
    <col collapsed="false" customWidth="false" hidden="false" outlineLevel="0" max="8712" min="8706" style="330" width="9.14"/>
    <col collapsed="false" customWidth="true" hidden="false" outlineLevel="0" max="8713" min="8713" style="330" width="27"/>
    <col collapsed="false" customWidth="true" hidden="false" outlineLevel="0" max="8714" min="8714" style="330" width="11.29"/>
    <col collapsed="false" customWidth="false" hidden="false" outlineLevel="0" max="8960" min="8715" style="330" width="9.14"/>
    <col collapsed="false" customWidth="true" hidden="false" outlineLevel="0" max="8961" min="8961" style="330" width="13.57"/>
    <col collapsed="false" customWidth="false" hidden="false" outlineLevel="0" max="8968" min="8962" style="330" width="9.14"/>
    <col collapsed="false" customWidth="true" hidden="false" outlineLevel="0" max="8969" min="8969" style="330" width="27"/>
    <col collapsed="false" customWidth="true" hidden="false" outlineLevel="0" max="8970" min="8970" style="330" width="11.29"/>
    <col collapsed="false" customWidth="false" hidden="false" outlineLevel="0" max="9216" min="8971" style="330" width="9.14"/>
    <col collapsed="false" customWidth="true" hidden="false" outlineLevel="0" max="9217" min="9217" style="330" width="13.57"/>
    <col collapsed="false" customWidth="false" hidden="false" outlineLevel="0" max="9224" min="9218" style="330" width="9.14"/>
    <col collapsed="false" customWidth="true" hidden="false" outlineLevel="0" max="9225" min="9225" style="330" width="27"/>
    <col collapsed="false" customWidth="true" hidden="false" outlineLevel="0" max="9226" min="9226" style="330" width="11.29"/>
    <col collapsed="false" customWidth="false" hidden="false" outlineLevel="0" max="9472" min="9227" style="330" width="9.14"/>
    <col collapsed="false" customWidth="true" hidden="false" outlineLevel="0" max="9473" min="9473" style="330" width="13.57"/>
    <col collapsed="false" customWidth="false" hidden="false" outlineLevel="0" max="9480" min="9474" style="330" width="9.14"/>
    <col collapsed="false" customWidth="true" hidden="false" outlineLevel="0" max="9481" min="9481" style="330" width="27"/>
    <col collapsed="false" customWidth="true" hidden="false" outlineLevel="0" max="9482" min="9482" style="330" width="11.29"/>
    <col collapsed="false" customWidth="false" hidden="false" outlineLevel="0" max="9728" min="9483" style="330" width="9.14"/>
    <col collapsed="false" customWidth="true" hidden="false" outlineLevel="0" max="9729" min="9729" style="330" width="13.57"/>
    <col collapsed="false" customWidth="false" hidden="false" outlineLevel="0" max="9736" min="9730" style="330" width="9.14"/>
    <col collapsed="false" customWidth="true" hidden="false" outlineLevel="0" max="9737" min="9737" style="330" width="27"/>
    <col collapsed="false" customWidth="true" hidden="false" outlineLevel="0" max="9738" min="9738" style="330" width="11.29"/>
    <col collapsed="false" customWidth="false" hidden="false" outlineLevel="0" max="9984" min="9739" style="330" width="9.14"/>
    <col collapsed="false" customWidth="true" hidden="false" outlineLevel="0" max="9985" min="9985" style="330" width="13.57"/>
    <col collapsed="false" customWidth="false" hidden="false" outlineLevel="0" max="9992" min="9986" style="330" width="9.14"/>
    <col collapsed="false" customWidth="true" hidden="false" outlineLevel="0" max="9993" min="9993" style="330" width="27"/>
    <col collapsed="false" customWidth="true" hidden="false" outlineLevel="0" max="9994" min="9994" style="330" width="11.29"/>
    <col collapsed="false" customWidth="false" hidden="false" outlineLevel="0" max="10240" min="9995" style="330" width="9.14"/>
    <col collapsed="false" customWidth="true" hidden="false" outlineLevel="0" max="10241" min="10241" style="330" width="13.57"/>
    <col collapsed="false" customWidth="false" hidden="false" outlineLevel="0" max="10248" min="10242" style="330" width="9.14"/>
    <col collapsed="false" customWidth="true" hidden="false" outlineLevel="0" max="10249" min="10249" style="330" width="27"/>
    <col collapsed="false" customWidth="true" hidden="false" outlineLevel="0" max="10250" min="10250" style="330" width="11.29"/>
    <col collapsed="false" customWidth="false" hidden="false" outlineLevel="0" max="10496" min="10251" style="330" width="9.14"/>
    <col collapsed="false" customWidth="true" hidden="false" outlineLevel="0" max="10497" min="10497" style="330" width="13.57"/>
    <col collapsed="false" customWidth="false" hidden="false" outlineLevel="0" max="10504" min="10498" style="330" width="9.14"/>
    <col collapsed="false" customWidth="true" hidden="false" outlineLevel="0" max="10505" min="10505" style="330" width="27"/>
    <col collapsed="false" customWidth="true" hidden="false" outlineLevel="0" max="10506" min="10506" style="330" width="11.29"/>
    <col collapsed="false" customWidth="false" hidden="false" outlineLevel="0" max="10752" min="10507" style="330" width="9.14"/>
    <col collapsed="false" customWidth="true" hidden="false" outlineLevel="0" max="10753" min="10753" style="330" width="13.57"/>
    <col collapsed="false" customWidth="false" hidden="false" outlineLevel="0" max="10760" min="10754" style="330" width="9.14"/>
    <col collapsed="false" customWidth="true" hidden="false" outlineLevel="0" max="10761" min="10761" style="330" width="27"/>
    <col collapsed="false" customWidth="true" hidden="false" outlineLevel="0" max="10762" min="10762" style="330" width="11.29"/>
    <col collapsed="false" customWidth="false" hidden="false" outlineLevel="0" max="11008" min="10763" style="330" width="9.14"/>
    <col collapsed="false" customWidth="true" hidden="false" outlineLevel="0" max="11009" min="11009" style="330" width="13.57"/>
    <col collapsed="false" customWidth="false" hidden="false" outlineLevel="0" max="11016" min="11010" style="330" width="9.14"/>
    <col collapsed="false" customWidth="true" hidden="false" outlineLevel="0" max="11017" min="11017" style="330" width="27"/>
    <col collapsed="false" customWidth="true" hidden="false" outlineLevel="0" max="11018" min="11018" style="330" width="11.29"/>
    <col collapsed="false" customWidth="false" hidden="false" outlineLevel="0" max="11264" min="11019" style="330" width="9.14"/>
    <col collapsed="false" customWidth="true" hidden="false" outlineLevel="0" max="11265" min="11265" style="330" width="13.57"/>
    <col collapsed="false" customWidth="false" hidden="false" outlineLevel="0" max="11272" min="11266" style="330" width="9.14"/>
    <col collapsed="false" customWidth="true" hidden="false" outlineLevel="0" max="11273" min="11273" style="330" width="27"/>
    <col collapsed="false" customWidth="true" hidden="false" outlineLevel="0" max="11274" min="11274" style="330" width="11.29"/>
    <col collapsed="false" customWidth="false" hidden="false" outlineLevel="0" max="11520" min="11275" style="330" width="9.14"/>
    <col collapsed="false" customWidth="true" hidden="false" outlineLevel="0" max="11521" min="11521" style="330" width="13.57"/>
    <col collapsed="false" customWidth="false" hidden="false" outlineLevel="0" max="11528" min="11522" style="330" width="9.14"/>
    <col collapsed="false" customWidth="true" hidden="false" outlineLevel="0" max="11529" min="11529" style="330" width="27"/>
    <col collapsed="false" customWidth="true" hidden="false" outlineLevel="0" max="11530" min="11530" style="330" width="11.29"/>
    <col collapsed="false" customWidth="false" hidden="false" outlineLevel="0" max="11776" min="11531" style="330" width="9.14"/>
    <col collapsed="false" customWidth="true" hidden="false" outlineLevel="0" max="11777" min="11777" style="330" width="13.57"/>
    <col collapsed="false" customWidth="false" hidden="false" outlineLevel="0" max="11784" min="11778" style="330" width="9.14"/>
    <col collapsed="false" customWidth="true" hidden="false" outlineLevel="0" max="11785" min="11785" style="330" width="27"/>
    <col collapsed="false" customWidth="true" hidden="false" outlineLevel="0" max="11786" min="11786" style="330" width="11.29"/>
    <col collapsed="false" customWidth="false" hidden="false" outlineLevel="0" max="12032" min="11787" style="330" width="9.14"/>
    <col collapsed="false" customWidth="true" hidden="false" outlineLevel="0" max="12033" min="12033" style="330" width="13.57"/>
    <col collapsed="false" customWidth="false" hidden="false" outlineLevel="0" max="12040" min="12034" style="330" width="9.14"/>
    <col collapsed="false" customWidth="true" hidden="false" outlineLevel="0" max="12041" min="12041" style="330" width="27"/>
    <col collapsed="false" customWidth="true" hidden="false" outlineLevel="0" max="12042" min="12042" style="330" width="11.29"/>
    <col collapsed="false" customWidth="false" hidden="false" outlineLevel="0" max="12288" min="12043" style="330" width="9.14"/>
    <col collapsed="false" customWidth="true" hidden="false" outlineLevel="0" max="12289" min="12289" style="330" width="13.57"/>
    <col collapsed="false" customWidth="false" hidden="false" outlineLevel="0" max="12296" min="12290" style="330" width="9.14"/>
    <col collapsed="false" customWidth="true" hidden="false" outlineLevel="0" max="12297" min="12297" style="330" width="27"/>
    <col collapsed="false" customWidth="true" hidden="false" outlineLevel="0" max="12298" min="12298" style="330" width="11.29"/>
    <col collapsed="false" customWidth="false" hidden="false" outlineLevel="0" max="12544" min="12299" style="330" width="9.14"/>
    <col collapsed="false" customWidth="true" hidden="false" outlineLevel="0" max="12545" min="12545" style="330" width="13.57"/>
    <col collapsed="false" customWidth="false" hidden="false" outlineLevel="0" max="12552" min="12546" style="330" width="9.14"/>
    <col collapsed="false" customWidth="true" hidden="false" outlineLevel="0" max="12553" min="12553" style="330" width="27"/>
    <col collapsed="false" customWidth="true" hidden="false" outlineLevel="0" max="12554" min="12554" style="330" width="11.29"/>
    <col collapsed="false" customWidth="false" hidden="false" outlineLevel="0" max="12800" min="12555" style="330" width="9.14"/>
    <col collapsed="false" customWidth="true" hidden="false" outlineLevel="0" max="12801" min="12801" style="330" width="13.57"/>
    <col collapsed="false" customWidth="false" hidden="false" outlineLevel="0" max="12808" min="12802" style="330" width="9.14"/>
    <col collapsed="false" customWidth="true" hidden="false" outlineLevel="0" max="12809" min="12809" style="330" width="27"/>
    <col collapsed="false" customWidth="true" hidden="false" outlineLevel="0" max="12810" min="12810" style="330" width="11.29"/>
    <col collapsed="false" customWidth="false" hidden="false" outlineLevel="0" max="13056" min="12811" style="330" width="9.14"/>
    <col collapsed="false" customWidth="true" hidden="false" outlineLevel="0" max="13057" min="13057" style="330" width="13.57"/>
    <col collapsed="false" customWidth="false" hidden="false" outlineLevel="0" max="13064" min="13058" style="330" width="9.14"/>
    <col collapsed="false" customWidth="true" hidden="false" outlineLevel="0" max="13065" min="13065" style="330" width="27"/>
    <col collapsed="false" customWidth="true" hidden="false" outlineLevel="0" max="13066" min="13066" style="330" width="11.29"/>
    <col collapsed="false" customWidth="false" hidden="false" outlineLevel="0" max="13312" min="13067" style="330" width="9.14"/>
    <col collapsed="false" customWidth="true" hidden="false" outlineLevel="0" max="13313" min="13313" style="330" width="13.57"/>
    <col collapsed="false" customWidth="false" hidden="false" outlineLevel="0" max="13320" min="13314" style="330" width="9.14"/>
    <col collapsed="false" customWidth="true" hidden="false" outlineLevel="0" max="13321" min="13321" style="330" width="27"/>
    <col collapsed="false" customWidth="true" hidden="false" outlineLevel="0" max="13322" min="13322" style="330" width="11.29"/>
    <col collapsed="false" customWidth="false" hidden="false" outlineLevel="0" max="13568" min="13323" style="330" width="9.14"/>
    <col collapsed="false" customWidth="true" hidden="false" outlineLevel="0" max="13569" min="13569" style="330" width="13.57"/>
    <col collapsed="false" customWidth="false" hidden="false" outlineLevel="0" max="13576" min="13570" style="330" width="9.14"/>
    <col collapsed="false" customWidth="true" hidden="false" outlineLevel="0" max="13577" min="13577" style="330" width="27"/>
    <col collapsed="false" customWidth="true" hidden="false" outlineLevel="0" max="13578" min="13578" style="330" width="11.29"/>
    <col collapsed="false" customWidth="false" hidden="false" outlineLevel="0" max="13824" min="13579" style="330" width="9.14"/>
    <col collapsed="false" customWidth="true" hidden="false" outlineLevel="0" max="13825" min="13825" style="330" width="13.57"/>
    <col collapsed="false" customWidth="false" hidden="false" outlineLevel="0" max="13832" min="13826" style="330" width="9.14"/>
    <col collapsed="false" customWidth="true" hidden="false" outlineLevel="0" max="13833" min="13833" style="330" width="27"/>
    <col collapsed="false" customWidth="true" hidden="false" outlineLevel="0" max="13834" min="13834" style="330" width="11.29"/>
    <col collapsed="false" customWidth="false" hidden="false" outlineLevel="0" max="14080" min="13835" style="330" width="9.14"/>
    <col collapsed="false" customWidth="true" hidden="false" outlineLevel="0" max="14081" min="14081" style="330" width="13.57"/>
    <col collapsed="false" customWidth="false" hidden="false" outlineLevel="0" max="14088" min="14082" style="330" width="9.14"/>
    <col collapsed="false" customWidth="true" hidden="false" outlineLevel="0" max="14089" min="14089" style="330" width="27"/>
    <col collapsed="false" customWidth="true" hidden="false" outlineLevel="0" max="14090" min="14090" style="330" width="11.29"/>
    <col collapsed="false" customWidth="false" hidden="false" outlineLevel="0" max="14336" min="14091" style="330" width="9.14"/>
    <col collapsed="false" customWidth="true" hidden="false" outlineLevel="0" max="14337" min="14337" style="330" width="13.57"/>
    <col collapsed="false" customWidth="false" hidden="false" outlineLevel="0" max="14344" min="14338" style="330" width="9.14"/>
    <col collapsed="false" customWidth="true" hidden="false" outlineLevel="0" max="14345" min="14345" style="330" width="27"/>
    <col collapsed="false" customWidth="true" hidden="false" outlineLevel="0" max="14346" min="14346" style="330" width="11.29"/>
    <col collapsed="false" customWidth="false" hidden="false" outlineLevel="0" max="14592" min="14347" style="330" width="9.14"/>
    <col collapsed="false" customWidth="true" hidden="false" outlineLevel="0" max="14593" min="14593" style="330" width="13.57"/>
    <col collapsed="false" customWidth="false" hidden="false" outlineLevel="0" max="14600" min="14594" style="330" width="9.14"/>
    <col collapsed="false" customWidth="true" hidden="false" outlineLevel="0" max="14601" min="14601" style="330" width="27"/>
    <col collapsed="false" customWidth="true" hidden="false" outlineLevel="0" max="14602" min="14602" style="330" width="11.29"/>
    <col collapsed="false" customWidth="false" hidden="false" outlineLevel="0" max="14848" min="14603" style="330" width="9.14"/>
    <col collapsed="false" customWidth="true" hidden="false" outlineLevel="0" max="14849" min="14849" style="330" width="13.57"/>
    <col collapsed="false" customWidth="false" hidden="false" outlineLevel="0" max="14856" min="14850" style="330" width="9.14"/>
    <col collapsed="false" customWidth="true" hidden="false" outlineLevel="0" max="14857" min="14857" style="330" width="27"/>
    <col collapsed="false" customWidth="true" hidden="false" outlineLevel="0" max="14858" min="14858" style="330" width="11.29"/>
    <col collapsed="false" customWidth="false" hidden="false" outlineLevel="0" max="15104" min="14859" style="330" width="9.14"/>
    <col collapsed="false" customWidth="true" hidden="false" outlineLevel="0" max="15105" min="15105" style="330" width="13.57"/>
    <col collapsed="false" customWidth="false" hidden="false" outlineLevel="0" max="15112" min="15106" style="330" width="9.14"/>
    <col collapsed="false" customWidth="true" hidden="false" outlineLevel="0" max="15113" min="15113" style="330" width="27"/>
    <col collapsed="false" customWidth="true" hidden="false" outlineLevel="0" max="15114" min="15114" style="330" width="11.29"/>
    <col collapsed="false" customWidth="false" hidden="false" outlineLevel="0" max="15360" min="15115" style="330" width="9.14"/>
    <col collapsed="false" customWidth="true" hidden="false" outlineLevel="0" max="15361" min="15361" style="330" width="13.57"/>
    <col collapsed="false" customWidth="false" hidden="false" outlineLevel="0" max="15368" min="15362" style="330" width="9.14"/>
    <col collapsed="false" customWidth="true" hidden="false" outlineLevel="0" max="15369" min="15369" style="330" width="27"/>
    <col collapsed="false" customWidth="true" hidden="false" outlineLevel="0" max="15370" min="15370" style="330" width="11.29"/>
    <col collapsed="false" customWidth="false" hidden="false" outlineLevel="0" max="15616" min="15371" style="330" width="9.14"/>
    <col collapsed="false" customWidth="true" hidden="false" outlineLevel="0" max="15617" min="15617" style="330" width="13.57"/>
    <col collapsed="false" customWidth="false" hidden="false" outlineLevel="0" max="15624" min="15618" style="330" width="9.14"/>
    <col collapsed="false" customWidth="true" hidden="false" outlineLevel="0" max="15625" min="15625" style="330" width="27"/>
    <col collapsed="false" customWidth="true" hidden="false" outlineLevel="0" max="15626" min="15626" style="330" width="11.29"/>
    <col collapsed="false" customWidth="false" hidden="false" outlineLevel="0" max="15872" min="15627" style="330" width="9.14"/>
    <col collapsed="false" customWidth="true" hidden="false" outlineLevel="0" max="15873" min="15873" style="330" width="13.57"/>
    <col collapsed="false" customWidth="false" hidden="false" outlineLevel="0" max="15880" min="15874" style="330" width="9.14"/>
    <col collapsed="false" customWidth="true" hidden="false" outlineLevel="0" max="15881" min="15881" style="330" width="27"/>
    <col collapsed="false" customWidth="true" hidden="false" outlineLevel="0" max="15882" min="15882" style="330" width="11.29"/>
    <col collapsed="false" customWidth="false" hidden="false" outlineLevel="0" max="16128" min="15883" style="330" width="9.14"/>
    <col collapsed="false" customWidth="true" hidden="false" outlineLevel="0" max="16129" min="16129" style="330" width="13.57"/>
    <col collapsed="false" customWidth="false" hidden="false" outlineLevel="0" max="16136" min="16130" style="330" width="9.14"/>
    <col collapsed="false" customWidth="true" hidden="false" outlineLevel="0" max="16137" min="16137" style="330" width="27"/>
    <col collapsed="false" customWidth="true" hidden="false" outlineLevel="0" max="16138" min="16138" style="330" width="11.29"/>
    <col collapsed="false" customWidth="false" hidden="false" outlineLevel="0" max="16384" min="16139" style="330" width="9.14"/>
  </cols>
  <sheetData>
    <row r="1" customFormat="false" ht="17.25" hidden="false" customHeight="true" outlineLevel="0" collapsed="false"/>
    <row r="2" customFormat="false" ht="17.25" hidden="false" customHeight="true" outlineLevel="0" collapsed="false">
      <c r="A2" s="331" t="s">
        <v>318</v>
      </c>
      <c r="B2" s="331"/>
      <c r="C2" s="331"/>
      <c r="D2" s="331"/>
      <c r="E2" s="332"/>
      <c r="F2" s="332"/>
      <c r="G2" s="332"/>
      <c r="H2" s="332"/>
      <c r="I2" s="332"/>
    </row>
    <row r="3" customFormat="false" ht="17.25" hidden="false" customHeight="true" outlineLevel="0" collapsed="false">
      <c r="A3" s="332"/>
      <c r="B3" s="331" t="s">
        <v>319</v>
      </c>
      <c r="C3" s="331"/>
      <c r="D3" s="331"/>
      <c r="E3" s="331"/>
      <c r="F3" s="331"/>
      <c r="G3" s="331"/>
      <c r="H3" s="331"/>
      <c r="I3" s="331"/>
    </row>
    <row r="4" customFormat="false" ht="17.25" hidden="false" customHeight="true" outlineLevel="0" collapsed="false">
      <c r="A4" s="332"/>
      <c r="B4" s="331"/>
      <c r="C4" s="331"/>
      <c r="D4" s="331"/>
      <c r="E4" s="331"/>
      <c r="F4" s="331"/>
      <c r="G4" s="331"/>
      <c r="H4" s="331"/>
      <c r="I4" s="331"/>
    </row>
    <row r="5" customFormat="false" ht="17.25" hidden="false" customHeight="true" outlineLevel="0" collapsed="false"/>
    <row r="6" customFormat="false" ht="17.25" hidden="false" customHeight="true" outlineLevel="0" collapsed="false">
      <c r="A6" s="331" t="s">
        <v>320</v>
      </c>
      <c r="B6" s="331"/>
      <c r="C6" s="331"/>
    </row>
    <row r="7" customFormat="false" ht="17.25" hidden="false" customHeight="true" outlineLevel="0" collapsed="false">
      <c r="A7" s="331"/>
      <c r="B7" s="331" t="s">
        <v>321</v>
      </c>
      <c r="C7" s="331"/>
      <c r="D7" s="331"/>
      <c r="E7" s="331"/>
      <c r="F7" s="331"/>
      <c r="G7" s="331"/>
      <c r="H7" s="331"/>
      <c r="I7" s="331"/>
      <c r="J7" s="331"/>
    </row>
    <row r="8" customFormat="false" ht="17.25" hidden="false" customHeight="true" outlineLevel="0" collapsed="false">
      <c r="A8" s="331"/>
      <c r="B8" s="333" t="s">
        <v>322</v>
      </c>
      <c r="C8" s="333"/>
      <c r="D8" s="333"/>
      <c r="E8" s="333"/>
      <c r="F8" s="333"/>
      <c r="G8" s="333"/>
      <c r="H8" s="333"/>
      <c r="I8" s="333"/>
      <c r="J8" s="333"/>
    </row>
    <row r="9" customFormat="false" ht="17.25" hidden="false" customHeight="true" outlineLevel="0" collapsed="false">
      <c r="A9" s="331"/>
      <c r="B9" s="333" t="s">
        <v>323</v>
      </c>
      <c r="C9" s="333"/>
      <c r="D9" s="333"/>
      <c r="E9" s="333"/>
      <c r="F9" s="333"/>
      <c r="G9" s="333"/>
      <c r="H9" s="333"/>
      <c r="I9" s="333"/>
      <c r="J9" s="333"/>
    </row>
    <row r="10" customFormat="false" ht="17.25" hidden="false" customHeight="true" outlineLevel="0" collapsed="false">
      <c r="A10" s="332"/>
      <c r="B10" s="334"/>
      <c r="C10" s="334"/>
      <c r="D10" s="334"/>
      <c r="E10" s="334"/>
      <c r="F10" s="334"/>
      <c r="G10" s="334"/>
      <c r="H10" s="334"/>
      <c r="I10" s="334"/>
    </row>
    <row r="11" customFormat="false" ht="17.25" hidden="false" customHeight="true" outlineLevel="0" collapsed="false">
      <c r="A11" s="331" t="s">
        <v>324</v>
      </c>
      <c r="B11" s="331"/>
      <c r="C11" s="331"/>
      <c r="D11" s="334"/>
      <c r="E11" s="334"/>
      <c r="F11" s="334"/>
      <c r="G11" s="334"/>
      <c r="H11" s="334"/>
      <c r="I11" s="334"/>
    </row>
    <row r="12" customFormat="false" ht="17.25" hidden="false" customHeight="true" outlineLevel="0" collapsed="false">
      <c r="A12" s="333"/>
      <c r="B12" s="331" t="s">
        <v>325</v>
      </c>
      <c r="C12" s="333"/>
      <c r="D12" s="333"/>
      <c r="E12" s="333"/>
      <c r="F12" s="333"/>
      <c r="G12" s="333"/>
      <c r="H12" s="333"/>
      <c r="I12" s="333"/>
      <c r="J12" s="333"/>
      <c r="K12" s="335"/>
      <c r="L12" s="335"/>
    </row>
    <row r="13" customFormat="false" ht="17.25" hidden="false" customHeight="true" outlineLevel="0" collapsed="false">
      <c r="A13" s="331"/>
      <c r="B13" s="333" t="s">
        <v>326</v>
      </c>
      <c r="C13" s="333"/>
      <c r="D13" s="333"/>
      <c r="E13" s="333"/>
      <c r="F13" s="333"/>
      <c r="G13" s="333"/>
      <c r="H13" s="333"/>
      <c r="I13" s="333"/>
      <c r="J13" s="333"/>
    </row>
    <row r="14" customFormat="false" ht="17.25" hidden="false" customHeight="true" outlineLevel="0" collapsed="false">
      <c r="A14" s="331"/>
      <c r="B14" s="333" t="s">
        <v>327</v>
      </c>
      <c r="C14" s="333"/>
      <c r="D14" s="333"/>
      <c r="E14" s="333"/>
      <c r="F14" s="333"/>
      <c r="G14" s="333"/>
      <c r="H14" s="333"/>
      <c r="I14" s="333"/>
      <c r="J14" s="333"/>
    </row>
    <row r="15" customFormat="false" ht="17.25" hidden="false" customHeight="true" outlineLevel="0" collapsed="false">
      <c r="B15" s="336" t="s">
        <v>328</v>
      </c>
      <c r="C15" s="336"/>
      <c r="D15" s="336"/>
      <c r="E15" s="336"/>
      <c r="F15" s="336"/>
      <c r="G15" s="336"/>
      <c r="H15" s="336"/>
      <c r="I15" s="336"/>
      <c r="J15" s="336"/>
    </row>
    <row r="16" customFormat="false" ht="17.25" hidden="false" customHeight="true" outlineLevel="0" collapsed="false">
      <c r="A16" s="332"/>
      <c r="B16" s="334"/>
      <c r="C16" s="334"/>
      <c r="D16" s="334"/>
      <c r="E16" s="334"/>
      <c r="F16" s="334"/>
      <c r="G16" s="334"/>
      <c r="H16" s="334"/>
      <c r="I16" s="334"/>
    </row>
    <row r="17" customFormat="false" ht="17.25" hidden="false" customHeight="true" outlineLevel="0" collapsed="false">
      <c r="A17" s="331" t="s">
        <v>329</v>
      </c>
      <c r="B17" s="331"/>
      <c r="C17" s="334"/>
      <c r="D17" s="334"/>
      <c r="E17" s="334"/>
      <c r="F17" s="334"/>
      <c r="G17" s="334"/>
      <c r="H17" s="334"/>
      <c r="I17" s="334"/>
    </row>
    <row r="18" customFormat="false" ht="17.25" hidden="false" customHeight="true" outlineLevel="0" collapsed="false">
      <c r="A18" s="331"/>
      <c r="B18" s="331" t="s">
        <v>330</v>
      </c>
      <c r="C18" s="331"/>
      <c r="D18" s="331"/>
      <c r="E18" s="331"/>
      <c r="F18" s="331"/>
      <c r="G18" s="331"/>
      <c r="H18" s="331"/>
      <c r="I18" s="331"/>
      <c r="J18" s="331"/>
    </row>
    <row r="19" customFormat="false" ht="17.25" hidden="false" customHeight="true" outlineLevel="0" collapsed="false">
      <c r="A19" s="331"/>
      <c r="B19" s="333" t="s">
        <v>331</v>
      </c>
      <c r="C19" s="333"/>
      <c r="D19" s="333"/>
      <c r="E19" s="333"/>
      <c r="F19" s="333"/>
      <c r="G19" s="333"/>
      <c r="H19" s="333"/>
      <c r="I19" s="333"/>
      <c r="J19" s="333"/>
    </row>
    <row r="20" customFormat="false" ht="17.25" hidden="false" customHeight="true" outlineLevel="0" collapsed="false">
      <c r="A20" s="331"/>
      <c r="B20" s="333" t="s">
        <v>332</v>
      </c>
      <c r="C20" s="333"/>
      <c r="D20" s="333"/>
      <c r="E20" s="333"/>
      <c r="F20" s="333"/>
      <c r="G20" s="333"/>
      <c r="H20" s="333"/>
      <c r="I20" s="333"/>
      <c r="J20" s="333"/>
    </row>
    <row r="21" customFormat="false" ht="17.25" hidden="false" customHeight="true" outlineLevel="0" collapsed="false">
      <c r="A21" s="332"/>
      <c r="B21" s="334"/>
      <c r="C21" s="334"/>
      <c r="D21" s="334"/>
      <c r="E21" s="334"/>
      <c r="F21" s="334"/>
      <c r="G21" s="334"/>
      <c r="H21" s="334"/>
      <c r="I21" s="334"/>
    </row>
    <row r="22" customFormat="false" ht="17.25" hidden="false" customHeight="true" outlineLevel="0" collapsed="false">
      <c r="A22" s="332"/>
      <c r="B22" s="334"/>
      <c r="C22" s="334"/>
      <c r="D22" s="334"/>
      <c r="E22" s="334"/>
      <c r="F22" s="334"/>
      <c r="G22" s="334"/>
      <c r="H22" s="334"/>
      <c r="I22" s="334"/>
    </row>
    <row r="23" customFormat="false" ht="17.25" hidden="false" customHeight="true" outlineLevel="0" collapsed="false">
      <c r="A23" s="331" t="s">
        <v>333</v>
      </c>
      <c r="B23" s="331"/>
      <c r="C23" s="331"/>
      <c r="D23" s="334"/>
      <c r="E23" s="334"/>
      <c r="F23" s="334"/>
      <c r="G23" s="334"/>
      <c r="H23" s="334"/>
      <c r="I23" s="334"/>
    </row>
    <row r="24" customFormat="false" ht="17.25" hidden="false" customHeight="true" outlineLevel="0" collapsed="false">
      <c r="A24" s="331"/>
      <c r="B24" s="331" t="s">
        <v>334</v>
      </c>
      <c r="C24" s="331"/>
      <c r="D24" s="331"/>
      <c r="E24" s="331"/>
      <c r="F24" s="331"/>
      <c r="G24" s="331"/>
      <c r="H24" s="331"/>
      <c r="I24" s="331"/>
      <c r="J24" s="331"/>
    </row>
    <row r="25" customFormat="false" ht="17.25" hidden="false" customHeight="true" outlineLevel="0" collapsed="false">
      <c r="A25" s="331"/>
      <c r="B25" s="333" t="s">
        <v>335</v>
      </c>
      <c r="C25" s="333"/>
      <c r="D25" s="333"/>
      <c r="E25" s="333"/>
      <c r="F25" s="333"/>
      <c r="G25" s="333"/>
      <c r="H25" s="333"/>
      <c r="I25" s="333"/>
      <c r="J25" s="333"/>
    </row>
    <row r="26" customFormat="false" ht="17.25" hidden="false" customHeight="true" outlineLevel="0" collapsed="false">
      <c r="A26" s="331"/>
      <c r="B26" s="333" t="s">
        <v>336</v>
      </c>
      <c r="C26" s="333"/>
      <c r="D26" s="333"/>
      <c r="E26" s="333"/>
      <c r="F26" s="333"/>
      <c r="G26" s="333"/>
      <c r="H26" s="333"/>
      <c r="I26" s="333"/>
      <c r="J26" s="333"/>
    </row>
    <row r="27" customFormat="false" ht="17.25" hidden="false" customHeight="true" outlineLevel="0" collapsed="false">
      <c r="B27" s="336" t="s">
        <v>337</v>
      </c>
      <c r="C27" s="336"/>
      <c r="D27" s="336"/>
      <c r="E27" s="336"/>
      <c r="F27" s="336"/>
      <c r="G27" s="336"/>
      <c r="H27" s="336"/>
      <c r="I27" s="336"/>
      <c r="J27" s="336"/>
    </row>
    <row r="28" customFormat="false" ht="17.25" hidden="false" customHeight="true" outlineLevel="0" collapsed="false">
      <c r="A28" s="332"/>
      <c r="B28" s="334"/>
      <c r="C28" s="334"/>
      <c r="D28" s="334"/>
      <c r="E28" s="334"/>
      <c r="F28" s="334"/>
      <c r="G28" s="334"/>
      <c r="H28" s="334"/>
      <c r="I28" s="334"/>
    </row>
    <row r="29" customFormat="false" ht="17.25" hidden="false" customHeight="true" outlineLevel="0" collapsed="false">
      <c r="A29" s="332"/>
      <c r="B29" s="334"/>
      <c r="C29" s="334"/>
      <c r="D29" s="334"/>
      <c r="E29" s="334"/>
      <c r="F29" s="334"/>
      <c r="G29" s="334"/>
      <c r="H29" s="334"/>
      <c r="I29" s="334"/>
    </row>
    <row r="30" customFormat="false" ht="17.25" hidden="false" customHeight="true" outlineLevel="0" collapsed="false">
      <c r="A30" s="337" t="s">
        <v>338</v>
      </c>
      <c r="B30" s="337"/>
      <c r="C30" s="337"/>
      <c r="D30" s="337"/>
      <c r="E30" s="332"/>
      <c r="F30" s="332"/>
      <c r="G30" s="332"/>
      <c r="H30" s="332"/>
      <c r="I30" s="332"/>
    </row>
    <row r="31" customFormat="false" ht="17.25" hidden="false" customHeight="true" outlineLevel="0" collapsed="false">
      <c r="A31" s="332"/>
      <c r="B31" s="337" t="s">
        <v>339</v>
      </c>
      <c r="C31" s="337"/>
      <c r="D31" s="337"/>
      <c r="E31" s="337"/>
      <c r="F31" s="337"/>
      <c r="G31" s="337"/>
      <c r="H31" s="337"/>
      <c r="I31" s="337"/>
      <c r="J31" s="337"/>
    </row>
    <row r="32" customFormat="false" ht="17.25" hidden="false" customHeight="true" outlineLevel="0" collapsed="false">
      <c r="A32" s="332"/>
      <c r="B32" s="338" t="s">
        <v>340</v>
      </c>
      <c r="C32" s="337"/>
      <c r="D32" s="337"/>
      <c r="E32" s="337"/>
      <c r="F32" s="337"/>
      <c r="G32" s="337"/>
      <c r="H32" s="337"/>
      <c r="I32" s="337"/>
      <c r="J32" s="337"/>
    </row>
    <row r="33" customFormat="false" ht="17.25" hidden="false" customHeight="true" outlineLevel="0" collapsed="false">
      <c r="A33" s="332"/>
      <c r="B33" s="337"/>
      <c r="C33" s="337"/>
      <c r="D33" s="332"/>
      <c r="E33" s="332"/>
      <c r="F33" s="332"/>
      <c r="G33" s="332"/>
      <c r="H33" s="332"/>
      <c r="I33" s="332"/>
    </row>
    <row r="34" customFormat="false" ht="17.25" hidden="false" customHeight="true" outlineLevel="0" collapsed="false"/>
    <row r="35" customFormat="false" ht="17.25" hidden="false" customHeight="true" outlineLevel="0" collapsed="false">
      <c r="A35" s="331" t="s">
        <v>341</v>
      </c>
      <c r="B35" s="331"/>
      <c r="C35" s="331"/>
      <c r="D35" s="332"/>
      <c r="E35" s="332"/>
      <c r="F35" s="332"/>
      <c r="G35" s="332"/>
      <c r="H35" s="332"/>
      <c r="I35" s="332"/>
    </row>
    <row r="36" customFormat="false" ht="17.25" hidden="false" customHeight="true" outlineLevel="0" collapsed="false">
      <c r="A36" s="332"/>
      <c r="B36" s="339" t="s">
        <v>342</v>
      </c>
      <c r="C36" s="339"/>
      <c r="D36" s="339"/>
      <c r="E36" s="339"/>
      <c r="F36" s="339"/>
      <c r="G36" s="339"/>
      <c r="H36" s="339"/>
      <c r="I36" s="339"/>
      <c r="J36" s="339"/>
    </row>
    <row r="37" customFormat="false" ht="17.25" hidden="false" customHeight="true" outlineLevel="0" collapsed="false">
      <c r="A37" s="332"/>
      <c r="B37" s="333" t="s">
        <v>343</v>
      </c>
      <c r="C37" s="333"/>
      <c r="D37" s="333"/>
      <c r="E37" s="333"/>
      <c r="F37" s="333"/>
      <c r="G37" s="333"/>
      <c r="H37" s="333"/>
      <c r="I37" s="333"/>
      <c r="J37" s="333"/>
    </row>
    <row r="38" customFormat="false" ht="17.25" hidden="false" customHeight="true" outlineLevel="0" collapsed="false">
      <c r="A38" s="332"/>
      <c r="B38" s="333"/>
      <c r="C38" s="333"/>
      <c r="D38" s="333"/>
      <c r="E38" s="333"/>
      <c r="F38" s="332"/>
      <c r="G38" s="332"/>
      <c r="H38" s="332"/>
      <c r="I38" s="332"/>
    </row>
    <row r="39" customFormat="false" ht="17.25" hidden="false" customHeight="true" outlineLevel="0" collapsed="false"/>
    <row r="40" customFormat="false" ht="17.25" hidden="false" customHeight="true" outlineLevel="0" collapsed="false">
      <c r="A40" s="331" t="s">
        <v>344</v>
      </c>
      <c r="B40" s="331"/>
      <c r="C40" s="332"/>
      <c r="D40" s="332"/>
      <c r="E40" s="332"/>
      <c r="F40" s="332"/>
      <c r="G40" s="332"/>
      <c r="H40" s="332"/>
      <c r="I40" s="332"/>
    </row>
    <row r="41" customFormat="false" ht="17.25" hidden="false" customHeight="true" outlineLevel="0" collapsed="false">
      <c r="A41" s="332"/>
      <c r="B41" s="331" t="s">
        <v>345</v>
      </c>
      <c r="C41" s="331"/>
      <c r="D41" s="331"/>
      <c r="E41" s="331"/>
      <c r="F41" s="331"/>
      <c r="G41" s="331"/>
      <c r="H41" s="332"/>
      <c r="I41" s="332"/>
    </row>
    <row r="42" customFormat="false" ht="17.25" hidden="false" customHeight="true" outlineLevel="0" collapsed="false">
      <c r="A42" s="332"/>
      <c r="B42" s="331"/>
      <c r="C42" s="331"/>
      <c r="D42" s="331"/>
      <c r="E42" s="331"/>
      <c r="F42" s="332"/>
      <c r="G42" s="332"/>
      <c r="H42" s="332"/>
      <c r="I42" s="332"/>
    </row>
    <row r="43" customFormat="false" ht="17.25" hidden="false" customHeight="true" outlineLevel="0" collapsed="false">
      <c r="A43" s="332"/>
      <c r="B43" s="333" t="s">
        <v>346</v>
      </c>
      <c r="C43" s="333"/>
      <c r="D43" s="333"/>
      <c r="E43" s="333"/>
      <c r="F43" s="333"/>
      <c r="G43" s="333"/>
      <c r="H43" s="333"/>
      <c r="I43" s="333"/>
      <c r="J43" s="333"/>
    </row>
    <row r="44" customFormat="false" ht="17.25" hidden="false" customHeight="true" outlineLevel="0" collapsed="false">
      <c r="A44" s="332"/>
      <c r="B44" s="333" t="s">
        <v>347</v>
      </c>
      <c r="C44" s="333"/>
      <c r="D44" s="333"/>
      <c r="E44" s="333"/>
      <c r="F44" s="333"/>
      <c r="G44" s="333"/>
      <c r="H44" s="333"/>
      <c r="I44" s="333"/>
      <c r="J44" s="333"/>
    </row>
    <row r="45" customFormat="false" ht="17.25" hidden="false" customHeight="true" outlineLevel="0" collapsed="false">
      <c r="A45" s="332"/>
      <c r="B45" s="333" t="s">
        <v>348</v>
      </c>
      <c r="C45" s="333"/>
      <c r="D45" s="333"/>
      <c r="E45" s="333"/>
      <c r="F45" s="333"/>
      <c r="G45" s="333"/>
      <c r="H45" s="333"/>
      <c r="I45" s="333"/>
      <c r="J45" s="333"/>
    </row>
    <row r="46" customFormat="false" ht="17.25" hidden="false" customHeight="true" outlineLevel="0" collapsed="false">
      <c r="B46" s="340"/>
      <c r="C46" s="340"/>
      <c r="D46" s="340"/>
      <c r="E46" s="340"/>
      <c r="F46" s="340"/>
      <c r="G46" s="340"/>
      <c r="H46" s="340"/>
      <c r="I46" s="340"/>
      <c r="J46" s="340"/>
    </row>
    <row r="47" customFormat="false" ht="17.25" hidden="false" customHeight="true" outlineLevel="0" collapsed="false"/>
    <row r="48" customFormat="false" ht="17.25" hidden="false" customHeight="true" outlineLevel="0" collapsed="false"/>
    <row r="49" customFormat="false" ht="17.25" hidden="false" customHeight="true" outlineLevel="0" collapsed="false"/>
    <row r="50" customFormat="false" ht="17.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2003-09-16T19:36:09Z</dcterms:created>
  <dc:creator>POLICIA DE P.R.</dc:creator>
  <dc:description/>
  <dc:language>en-US</dc:language>
  <cp:lastModifiedBy/>
  <cp:lastPrinted>2016-11-07T17:49:00Z</cp:lastPrinted>
  <dcterms:modified xsi:type="dcterms:W3CDTF">2023-05-10T08:25:36Z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