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hidePivotFieldList="1"/>
  <xr:revisionPtr revIDLastSave="0" documentId="13_ncr:1_{1DBC107A-05C8-4F53-B302-3E1693F7F68D}" xr6:coauthVersionLast="38" xr6:coauthVersionMax="38" xr10:uidLastSave="{00000000-0000-0000-0000-000000000000}"/>
  <bookViews>
    <workbookView xWindow="0" yWindow="0" windowWidth="22260" windowHeight="12648" firstSheet="3" activeTab="7" xr2:uid="{00000000-000D-0000-FFFF-FFFF00000000}"/>
  </bookViews>
  <sheets>
    <sheet name="Amicus" sheetId="1" r:id="rId1"/>
    <sheet name="Comtec" sheetId="2" r:id="rId2"/>
    <sheet name="Optia" sheetId="3" r:id="rId3"/>
    <sheet name="All" sheetId="4" r:id="rId4"/>
    <sheet name="exp" sheetId="5" r:id="rId5"/>
    <sheet name="Sheet2" sheetId="6" r:id="rId6"/>
    <sheet name="Charts and tables" sheetId="8" r:id="rId7"/>
    <sheet name="Sheet7" sheetId="17" r:id="rId8"/>
    <sheet name="Sheet10" sheetId="20" r:id="rId9"/>
    <sheet name="Sheet14" sheetId="24" r:id="rId10"/>
    <sheet name="Sheet4" sheetId="14" r:id="rId11"/>
    <sheet name="Sheet12" sheetId="22" r:id="rId12"/>
    <sheet name="Sheet8" sheetId="18" r:id="rId13"/>
  </sheets>
  <definedNames>
    <definedName name="_xlnm._FilterDatabase" localSheetId="3" hidden="1">All!$A$1:$AG$91</definedName>
  </definedNames>
  <calcPr calcId="179021" calcMode="manual"/>
  <pivotCaches>
    <pivotCache cacheId="38" r:id="rId14"/>
    <pivotCache cacheId="58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7" l="1"/>
  <c r="D52" i="17"/>
  <c r="C52" i="17"/>
  <c r="E54" i="17"/>
  <c r="D54" i="17"/>
  <c r="C54" i="17"/>
  <c r="E56" i="17"/>
  <c r="C56" i="17"/>
  <c r="D56" i="17"/>
  <c r="E107" i="8"/>
  <c r="E106" i="8"/>
  <c r="E102" i="8"/>
  <c r="E101" i="8"/>
  <c r="E97" i="8"/>
  <c r="E96" i="8"/>
  <c r="D107" i="8"/>
  <c r="D106" i="8"/>
  <c r="D102" i="8"/>
  <c r="D101" i="8"/>
  <c r="D97" i="8"/>
  <c r="D96" i="8"/>
  <c r="G67" i="6" a="1"/>
  <c r="C87" i="8"/>
  <c r="C86" i="8"/>
  <c r="C85" i="8"/>
  <c r="C84" i="8"/>
  <c r="C83" i="8"/>
  <c r="F76" i="6" l="1" a="1"/>
  <c r="F76" i="6" s="1"/>
  <c r="F75" i="6" a="1"/>
  <c r="F75" i="6" s="1"/>
  <c r="F74" i="6" a="1"/>
  <c r="F74" i="6" s="1"/>
  <c r="E76" i="6"/>
  <c r="E75" i="6"/>
  <c r="E74" i="6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2" i="4"/>
  <c r="D2" i="4"/>
  <c r="F69" i="6" a="1"/>
  <c r="F69" i="6" s="1"/>
  <c r="F68" i="6" a="1"/>
  <c r="F68" i="6" s="1"/>
  <c r="F67" i="6" a="1"/>
  <c r="F67" i="6" s="1"/>
  <c r="E69" i="6"/>
  <c r="E68" i="6"/>
  <c r="E67" i="6"/>
  <c r="B74" i="8" l="1"/>
  <c r="B75" i="8"/>
  <c r="C76" i="8"/>
  <c r="G74" i="6"/>
  <c r="B77" i="8" s="1"/>
  <c r="G75" i="6"/>
  <c r="C77" i="8" s="1"/>
  <c r="G67" i="6"/>
  <c r="B68" i="8" s="1"/>
  <c r="D76" i="8"/>
  <c r="G76" i="6"/>
  <c r="D77" i="8" s="1"/>
  <c r="B76" i="8"/>
  <c r="C75" i="8"/>
  <c r="C74" i="8"/>
  <c r="D74" i="8"/>
  <c r="D75" i="8"/>
  <c r="G68" i="6"/>
  <c r="C68" i="8" s="1"/>
  <c r="G69" i="6"/>
  <c r="D68" i="8" s="1"/>
  <c r="F64" i="6" a="1"/>
  <c r="F64" i="6" s="1"/>
  <c r="F63" i="6" a="1"/>
  <c r="F63" i="6" s="1"/>
  <c r="F62" i="6" a="1"/>
  <c r="F62" i="6" s="1"/>
  <c r="E64" i="6"/>
  <c r="E63" i="6"/>
  <c r="E62" i="6"/>
  <c r="E57" i="6"/>
  <c r="F59" i="6" a="1"/>
  <c r="F59" i="6" s="1"/>
  <c r="F58" i="6" a="1"/>
  <c r="F58" i="6" s="1"/>
  <c r="F57" i="6" a="1"/>
  <c r="F57" i="6" s="1"/>
  <c r="G57" i="6" s="1"/>
  <c r="B66" i="8" s="1"/>
  <c r="E59" i="6"/>
  <c r="E58" i="6"/>
  <c r="F53" i="6" a="1"/>
  <c r="F53" i="6" s="1"/>
  <c r="F52" i="6" a="1"/>
  <c r="F52" i="6" s="1"/>
  <c r="F51" i="6" a="1"/>
  <c r="F51" i="6" s="1"/>
  <c r="E53" i="6"/>
  <c r="G53" i="6" s="1"/>
  <c r="D65" i="8" s="1"/>
  <c r="E52" i="6"/>
  <c r="E51" i="6"/>
  <c r="G51" i="6" s="1"/>
  <c r="B65" i="8" s="1"/>
  <c r="C59" i="8"/>
  <c r="C58" i="8"/>
  <c r="C55" i="8"/>
  <c r="C54" i="8"/>
  <c r="C51" i="8"/>
  <c r="C50" i="8"/>
  <c r="D41" i="8"/>
  <c r="C41" i="8"/>
  <c r="B41" i="8"/>
  <c r="G30" i="6"/>
  <c r="R7" i="8"/>
  <c r="R6" i="8"/>
  <c r="R5" i="8"/>
  <c r="F43" i="6" a="1"/>
  <c r="F43" i="6" s="1"/>
  <c r="F42" i="6" a="1"/>
  <c r="F42" i="6" s="1"/>
  <c r="F41" i="6" a="1"/>
  <c r="F41" i="6" s="1"/>
  <c r="G41" i="6" s="1"/>
  <c r="B42" i="8" s="1"/>
  <c r="F36" i="6" a="1"/>
  <c r="F36" i="6" s="1"/>
  <c r="E43" i="6"/>
  <c r="E42" i="6"/>
  <c r="E41" i="6"/>
  <c r="E36" i="6"/>
  <c r="F38" i="6" a="1"/>
  <c r="F38" i="6" s="1"/>
  <c r="F37" i="6" a="1"/>
  <c r="F37" i="6" s="1"/>
  <c r="E37" i="6"/>
  <c r="E38" i="6"/>
  <c r="G52" i="6" l="1"/>
  <c r="C65" i="8" s="1"/>
  <c r="G38" i="6"/>
  <c r="D43" i="8" s="1"/>
  <c r="G62" i="6"/>
  <c r="B67" i="8" s="1"/>
  <c r="G63" i="6"/>
  <c r="C67" i="8" s="1"/>
  <c r="G64" i="6"/>
  <c r="D67" i="8" s="1"/>
  <c r="G36" i="6"/>
  <c r="B43" i="8" s="1"/>
  <c r="G59" i="6"/>
  <c r="D66" i="8" s="1"/>
  <c r="G58" i="6"/>
  <c r="C66" i="8" s="1"/>
  <c r="G37" i="6"/>
  <c r="C43" i="8" s="1"/>
  <c r="G42" i="6"/>
  <c r="C42" i="8" s="1"/>
  <c r="G43" i="6"/>
  <c r="D42" i="8" s="1"/>
  <c r="C3" i="6" l="1"/>
  <c r="D3" i="6"/>
  <c r="E3" i="6"/>
  <c r="F3" i="6"/>
  <c r="C9" i="6"/>
  <c r="D9" i="6"/>
  <c r="E9" i="6"/>
  <c r="G9" i="6" s="1"/>
  <c r="F9" i="6"/>
  <c r="G3" i="6" l="1"/>
  <c r="F32" i="6" a="1"/>
  <c r="F32" i="6" s="1"/>
  <c r="F31" i="6" a="1"/>
  <c r="F31" i="6" s="1"/>
  <c r="F30" i="6" a="1"/>
  <c r="F30" i="6" s="1"/>
  <c r="E30" i="6"/>
  <c r="G29" i="6"/>
  <c r="E31" i="6"/>
  <c r="E32" i="6"/>
  <c r="F4" i="6"/>
  <c r="F5" i="6"/>
  <c r="F6" i="6"/>
  <c r="F7" i="6"/>
  <c r="F8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" i="6"/>
  <c r="E4" i="6"/>
  <c r="E5" i="6"/>
  <c r="E6" i="6"/>
  <c r="E7" i="6"/>
  <c r="E8" i="6"/>
  <c r="G8" i="6" s="1"/>
  <c r="E10" i="6"/>
  <c r="E11" i="6"/>
  <c r="E12" i="6"/>
  <c r="E13" i="6"/>
  <c r="E14" i="6"/>
  <c r="E15" i="6"/>
  <c r="E16" i="6"/>
  <c r="E17" i="6"/>
  <c r="G17" i="6" s="1"/>
  <c r="E18" i="6"/>
  <c r="E19" i="6"/>
  <c r="E20" i="6"/>
  <c r="E21" i="6"/>
  <c r="E22" i="6"/>
  <c r="E23" i="6"/>
  <c r="E24" i="6"/>
  <c r="E25" i="6"/>
  <c r="G25" i="6" s="1"/>
  <c r="E26" i="6"/>
  <c r="E27" i="6"/>
  <c r="E28" i="6"/>
  <c r="E2" i="6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" i="6"/>
  <c r="C2" i="6"/>
  <c r="C4" i="6"/>
  <c r="C5" i="6"/>
  <c r="C6" i="6"/>
  <c r="C7" i="6"/>
  <c r="C8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X91" i="5"/>
  <c r="U91" i="5"/>
  <c r="R91" i="5"/>
  <c r="O91" i="5"/>
  <c r="L91" i="5"/>
  <c r="G91" i="5"/>
  <c r="X90" i="5"/>
  <c r="U90" i="5"/>
  <c r="R90" i="5"/>
  <c r="O90" i="5"/>
  <c r="L90" i="5"/>
  <c r="G90" i="5"/>
  <c r="X89" i="5"/>
  <c r="U89" i="5"/>
  <c r="R89" i="5"/>
  <c r="O89" i="5"/>
  <c r="L89" i="5"/>
  <c r="G89" i="5"/>
  <c r="X88" i="5"/>
  <c r="U88" i="5"/>
  <c r="R88" i="5"/>
  <c r="O88" i="5"/>
  <c r="L88" i="5"/>
  <c r="G88" i="5"/>
  <c r="X87" i="5"/>
  <c r="U87" i="5"/>
  <c r="R87" i="5"/>
  <c r="O87" i="5"/>
  <c r="L87" i="5"/>
  <c r="G87" i="5"/>
  <c r="X86" i="5"/>
  <c r="U86" i="5"/>
  <c r="R86" i="5"/>
  <c r="O86" i="5"/>
  <c r="L86" i="5"/>
  <c r="G86" i="5"/>
  <c r="X85" i="5"/>
  <c r="U85" i="5"/>
  <c r="R85" i="5"/>
  <c r="O85" i="5"/>
  <c r="L85" i="5"/>
  <c r="G85" i="5"/>
  <c r="X84" i="5"/>
  <c r="U84" i="5"/>
  <c r="R84" i="5"/>
  <c r="O84" i="5"/>
  <c r="L84" i="5"/>
  <c r="G84" i="5"/>
  <c r="X83" i="5"/>
  <c r="U83" i="5"/>
  <c r="R83" i="5"/>
  <c r="O83" i="5"/>
  <c r="L83" i="5"/>
  <c r="G83" i="5"/>
  <c r="X82" i="5"/>
  <c r="U82" i="5"/>
  <c r="R82" i="5"/>
  <c r="O82" i="5"/>
  <c r="L82" i="5"/>
  <c r="G82" i="5"/>
  <c r="X81" i="5"/>
  <c r="U81" i="5"/>
  <c r="R81" i="5"/>
  <c r="O81" i="5"/>
  <c r="L81" i="5"/>
  <c r="G81" i="5"/>
  <c r="X80" i="5"/>
  <c r="U80" i="5"/>
  <c r="R80" i="5"/>
  <c r="O80" i="5"/>
  <c r="L80" i="5"/>
  <c r="G80" i="5"/>
  <c r="X79" i="5"/>
  <c r="U79" i="5"/>
  <c r="R79" i="5"/>
  <c r="O79" i="5"/>
  <c r="L79" i="5"/>
  <c r="G79" i="5"/>
  <c r="X78" i="5"/>
  <c r="U78" i="5"/>
  <c r="R78" i="5"/>
  <c r="O78" i="5"/>
  <c r="L78" i="5"/>
  <c r="G78" i="5"/>
  <c r="X77" i="5"/>
  <c r="U77" i="5"/>
  <c r="R77" i="5"/>
  <c r="O77" i="5"/>
  <c r="L77" i="5"/>
  <c r="G77" i="5"/>
  <c r="X76" i="5"/>
  <c r="U76" i="5"/>
  <c r="R76" i="5"/>
  <c r="O76" i="5"/>
  <c r="L76" i="5"/>
  <c r="G76" i="5"/>
  <c r="X75" i="5"/>
  <c r="U75" i="5"/>
  <c r="R75" i="5"/>
  <c r="O75" i="5"/>
  <c r="L75" i="5"/>
  <c r="G75" i="5"/>
  <c r="X74" i="5"/>
  <c r="U74" i="5"/>
  <c r="R74" i="5"/>
  <c r="O74" i="5"/>
  <c r="L74" i="5"/>
  <c r="G74" i="5"/>
  <c r="X73" i="5"/>
  <c r="U73" i="5"/>
  <c r="R73" i="5"/>
  <c r="O73" i="5"/>
  <c r="L73" i="5"/>
  <c r="G73" i="5"/>
  <c r="X72" i="5"/>
  <c r="U72" i="5"/>
  <c r="R72" i="5"/>
  <c r="O72" i="5"/>
  <c r="L72" i="5"/>
  <c r="G72" i="5"/>
  <c r="X71" i="5"/>
  <c r="U71" i="5"/>
  <c r="R71" i="5"/>
  <c r="O71" i="5"/>
  <c r="L71" i="5"/>
  <c r="G71" i="5"/>
  <c r="X70" i="5"/>
  <c r="U70" i="5"/>
  <c r="R70" i="5"/>
  <c r="O70" i="5"/>
  <c r="L70" i="5"/>
  <c r="G70" i="5"/>
  <c r="X69" i="5"/>
  <c r="U69" i="5"/>
  <c r="R69" i="5"/>
  <c r="O69" i="5"/>
  <c r="L69" i="5"/>
  <c r="G69" i="5"/>
  <c r="X68" i="5"/>
  <c r="U68" i="5"/>
  <c r="R68" i="5"/>
  <c r="O68" i="5"/>
  <c r="L68" i="5"/>
  <c r="G68" i="5"/>
  <c r="X67" i="5"/>
  <c r="U67" i="5"/>
  <c r="R67" i="5"/>
  <c r="O67" i="5"/>
  <c r="L67" i="5"/>
  <c r="G67" i="5"/>
  <c r="X66" i="5"/>
  <c r="U66" i="5"/>
  <c r="R66" i="5"/>
  <c r="O66" i="5"/>
  <c r="L66" i="5"/>
  <c r="G66" i="5"/>
  <c r="X65" i="5"/>
  <c r="U65" i="5"/>
  <c r="R65" i="5"/>
  <c r="O65" i="5"/>
  <c r="L65" i="5"/>
  <c r="G65" i="5"/>
  <c r="X64" i="5"/>
  <c r="U64" i="5"/>
  <c r="R64" i="5"/>
  <c r="O64" i="5"/>
  <c r="L64" i="5"/>
  <c r="G64" i="5"/>
  <c r="X63" i="5"/>
  <c r="U63" i="5"/>
  <c r="R63" i="5"/>
  <c r="O63" i="5"/>
  <c r="L63" i="5"/>
  <c r="G63" i="5"/>
  <c r="X62" i="5"/>
  <c r="U62" i="5"/>
  <c r="R62" i="5"/>
  <c r="O62" i="5"/>
  <c r="L62" i="5"/>
  <c r="G62" i="5"/>
  <c r="X61" i="5"/>
  <c r="U61" i="5"/>
  <c r="R61" i="5"/>
  <c r="O61" i="5"/>
  <c r="L61" i="5"/>
  <c r="G61" i="5"/>
  <c r="X60" i="5"/>
  <c r="U60" i="5"/>
  <c r="R60" i="5"/>
  <c r="O60" i="5"/>
  <c r="L60" i="5"/>
  <c r="G60" i="5"/>
  <c r="X59" i="5"/>
  <c r="U59" i="5"/>
  <c r="R59" i="5"/>
  <c r="O59" i="5"/>
  <c r="L59" i="5"/>
  <c r="G59" i="5"/>
  <c r="X58" i="5"/>
  <c r="U58" i="5"/>
  <c r="R58" i="5"/>
  <c r="O58" i="5"/>
  <c r="L58" i="5"/>
  <c r="G58" i="5"/>
  <c r="X57" i="5"/>
  <c r="U57" i="5"/>
  <c r="R57" i="5"/>
  <c r="O57" i="5"/>
  <c r="L57" i="5"/>
  <c r="G57" i="5"/>
  <c r="X56" i="5"/>
  <c r="U56" i="5"/>
  <c r="R56" i="5"/>
  <c r="O56" i="5"/>
  <c r="L56" i="5"/>
  <c r="G56" i="5"/>
  <c r="X55" i="5"/>
  <c r="U55" i="5"/>
  <c r="R55" i="5"/>
  <c r="O55" i="5"/>
  <c r="L55" i="5"/>
  <c r="G55" i="5"/>
  <c r="X54" i="5"/>
  <c r="U54" i="5"/>
  <c r="R54" i="5"/>
  <c r="O54" i="5"/>
  <c r="L54" i="5"/>
  <c r="G54" i="5"/>
  <c r="X53" i="5"/>
  <c r="U53" i="5"/>
  <c r="R53" i="5"/>
  <c r="O53" i="5"/>
  <c r="L53" i="5"/>
  <c r="G53" i="5"/>
  <c r="X52" i="5"/>
  <c r="U52" i="5"/>
  <c r="R52" i="5"/>
  <c r="O52" i="5"/>
  <c r="L52" i="5"/>
  <c r="G52" i="5"/>
  <c r="X51" i="5"/>
  <c r="U51" i="5"/>
  <c r="R51" i="5"/>
  <c r="O51" i="5"/>
  <c r="L51" i="5"/>
  <c r="G51" i="5"/>
  <c r="X50" i="5"/>
  <c r="U50" i="5"/>
  <c r="R50" i="5"/>
  <c r="O50" i="5"/>
  <c r="L50" i="5"/>
  <c r="G50" i="5"/>
  <c r="X49" i="5"/>
  <c r="U49" i="5"/>
  <c r="R49" i="5"/>
  <c r="O49" i="5"/>
  <c r="L49" i="5"/>
  <c r="G49" i="5"/>
  <c r="X48" i="5"/>
  <c r="U48" i="5"/>
  <c r="R48" i="5"/>
  <c r="O48" i="5"/>
  <c r="L48" i="5"/>
  <c r="G48" i="5"/>
  <c r="X47" i="5"/>
  <c r="U47" i="5"/>
  <c r="R47" i="5"/>
  <c r="O47" i="5"/>
  <c r="L47" i="5"/>
  <c r="G47" i="5"/>
  <c r="X46" i="5"/>
  <c r="U46" i="5"/>
  <c r="R46" i="5"/>
  <c r="O46" i="5"/>
  <c r="L46" i="5"/>
  <c r="G46" i="5"/>
  <c r="X45" i="5"/>
  <c r="U45" i="5"/>
  <c r="R45" i="5"/>
  <c r="O45" i="5"/>
  <c r="L45" i="5"/>
  <c r="G45" i="5"/>
  <c r="X44" i="5"/>
  <c r="U44" i="5"/>
  <c r="R44" i="5"/>
  <c r="O44" i="5"/>
  <c r="L44" i="5"/>
  <c r="G44" i="5"/>
  <c r="X43" i="5"/>
  <c r="U43" i="5"/>
  <c r="R43" i="5"/>
  <c r="O43" i="5"/>
  <c r="L43" i="5"/>
  <c r="G43" i="5"/>
  <c r="X42" i="5"/>
  <c r="U42" i="5"/>
  <c r="R42" i="5"/>
  <c r="O42" i="5"/>
  <c r="L42" i="5"/>
  <c r="G42" i="5"/>
  <c r="X41" i="5"/>
  <c r="U41" i="5"/>
  <c r="R41" i="5"/>
  <c r="O41" i="5"/>
  <c r="L41" i="5"/>
  <c r="G41" i="5"/>
  <c r="X40" i="5"/>
  <c r="U40" i="5"/>
  <c r="R40" i="5"/>
  <c r="O40" i="5"/>
  <c r="L40" i="5"/>
  <c r="G40" i="5"/>
  <c r="X39" i="5"/>
  <c r="U39" i="5"/>
  <c r="R39" i="5"/>
  <c r="O39" i="5"/>
  <c r="L39" i="5"/>
  <c r="G39" i="5"/>
  <c r="X38" i="5"/>
  <c r="U38" i="5"/>
  <c r="R38" i="5"/>
  <c r="O38" i="5"/>
  <c r="L38" i="5"/>
  <c r="G38" i="5"/>
  <c r="X37" i="5"/>
  <c r="U37" i="5"/>
  <c r="R37" i="5"/>
  <c r="O37" i="5"/>
  <c r="L37" i="5"/>
  <c r="G37" i="5"/>
  <c r="X36" i="5"/>
  <c r="U36" i="5"/>
  <c r="R36" i="5"/>
  <c r="O36" i="5"/>
  <c r="L36" i="5"/>
  <c r="G36" i="5"/>
  <c r="X35" i="5"/>
  <c r="U35" i="5"/>
  <c r="R35" i="5"/>
  <c r="O35" i="5"/>
  <c r="L35" i="5"/>
  <c r="G35" i="5"/>
  <c r="X34" i="5"/>
  <c r="U34" i="5"/>
  <c r="R34" i="5"/>
  <c r="O34" i="5"/>
  <c r="L34" i="5"/>
  <c r="G34" i="5"/>
  <c r="X33" i="5"/>
  <c r="U33" i="5"/>
  <c r="R33" i="5"/>
  <c r="O33" i="5"/>
  <c r="L33" i="5"/>
  <c r="G33" i="5"/>
  <c r="X32" i="5"/>
  <c r="U32" i="5"/>
  <c r="R32" i="5"/>
  <c r="O32" i="5"/>
  <c r="L32" i="5"/>
  <c r="G32" i="5"/>
  <c r="X31" i="5"/>
  <c r="U31" i="5"/>
  <c r="R31" i="5"/>
  <c r="O31" i="5"/>
  <c r="L31" i="5"/>
  <c r="G31" i="5"/>
  <c r="X30" i="5"/>
  <c r="U30" i="5"/>
  <c r="R30" i="5"/>
  <c r="O30" i="5"/>
  <c r="L30" i="5"/>
  <c r="G30" i="5"/>
  <c r="X29" i="5"/>
  <c r="U29" i="5"/>
  <c r="R29" i="5"/>
  <c r="O29" i="5"/>
  <c r="L29" i="5"/>
  <c r="G29" i="5"/>
  <c r="X28" i="5"/>
  <c r="U28" i="5"/>
  <c r="R28" i="5"/>
  <c r="O28" i="5"/>
  <c r="L28" i="5"/>
  <c r="G28" i="5"/>
  <c r="X27" i="5"/>
  <c r="U27" i="5"/>
  <c r="R27" i="5"/>
  <c r="O27" i="5"/>
  <c r="L27" i="5"/>
  <c r="G27" i="5"/>
  <c r="X26" i="5"/>
  <c r="U26" i="5"/>
  <c r="R26" i="5"/>
  <c r="O26" i="5"/>
  <c r="L26" i="5"/>
  <c r="G26" i="5"/>
  <c r="X25" i="5"/>
  <c r="U25" i="5"/>
  <c r="R25" i="5"/>
  <c r="O25" i="5"/>
  <c r="L25" i="5"/>
  <c r="G25" i="5"/>
  <c r="X24" i="5"/>
  <c r="U24" i="5"/>
  <c r="R24" i="5"/>
  <c r="O24" i="5"/>
  <c r="L24" i="5"/>
  <c r="G24" i="5"/>
  <c r="X23" i="5"/>
  <c r="U23" i="5"/>
  <c r="R23" i="5"/>
  <c r="O23" i="5"/>
  <c r="L23" i="5"/>
  <c r="G23" i="5"/>
  <c r="X22" i="5"/>
  <c r="U22" i="5"/>
  <c r="R22" i="5"/>
  <c r="O22" i="5"/>
  <c r="L22" i="5"/>
  <c r="G22" i="5"/>
  <c r="X21" i="5"/>
  <c r="U21" i="5"/>
  <c r="R21" i="5"/>
  <c r="O21" i="5"/>
  <c r="L21" i="5"/>
  <c r="G21" i="5"/>
  <c r="X20" i="5"/>
  <c r="U20" i="5"/>
  <c r="R20" i="5"/>
  <c r="O20" i="5"/>
  <c r="L20" i="5"/>
  <c r="G20" i="5"/>
  <c r="X19" i="5"/>
  <c r="U19" i="5"/>
  <c r="R19" i="5"/>
  <c r="O19" i="5"/>
  <c r="L19" i="5"/>
  <c r="G19" i="5"/>
  <c r="X18" i="5"/>
  <c r="U18" i="5"/>
  <c r="R18" i="5"/>
  <c r="O18" i="5"/>
  <c r="L18" i="5"/>
  <c r="G18" i="5"/>
  <c r="X17" i="5"/>
  <c r="U17" i="5"/>
  <c r="R17" i="5"/>
  <c r="O17" i="5"/>
  <c r="L17" i="5"/>
  <c r="G17" i="5"/>
  <c r="X16" i="5"/>
  <c r="U16" i="5"/>
  <c r="R16" i="5"/>
  <c r="O16" i="5"/>
  <c r="L16" i="5"/>
  <c r="G16" i="5"/>
  <c r="X15" i="5"/>
  <c r="U15" i="5"/>
  <c r="R15" i="5"/>
  <c r="O15" i="5"/>
  <c r="L15" i="5"/>
  <c r="G15" i="5"/>
  <c r="X14" i="5"/>
  <c r="U14" i="5"/>
  <c r="R14" i="5"/>
  <c r="O14" i="5"/>
  <c r="L14" i="5"/>
  <c r="G14" i="5"/>
  <c r="X13" i="5"/>
  <c r="U13" i="5"/>
  <c r="R13" i="5"/>
  <c r="O13" i="5"/>
  <c r="L13" i="5"/>
  <c r="G13" i="5"/>
  <c r="X12" i="5"/>
  <c r="U12" i="5"/>
  <c r="R12" i="5"/>
  <c r="O12" i="5"/>
  <c r="L12" i="5"/>
  <c r="G12" i="5"/>
  <c r="X11" i="5"/>
  <c r="U11" i="5"/>
  <c r="R11" i="5"/>
  <c r="O11" i="5"/>
  <c r="L11" i="5"/>
  <c r="G11" i="5"/>
  <c r="X10" i="5"/>
  <c r="U10" i="5"/>
  <c r="R10" i="5"/>
  <c r="O10" i="5"/>
  <c r="L10" i="5"/>
  <c r="G10" i="5"/>
  <c r="X9" i="5"/>
  <c r="U9" i="5"/>
  <c r="R9" i="5"/>
  <c r="O9" i="5"/>
  <c r="L9" i="5"/>
  <c r="G9" i="5"/>
  <c r="X8" i="5"/>
  <c r="U8" i="5"/>
  <c r="R8" i="5"/>
  <c r="O8" i="5"/>
  <c r="L8" i="5"/>
  <c r="G8" i="5"/>
  <c r="X7" i="5"/>
  <c r="U7" i="5"/>
  <c r="R7" i="5"/>
  <c r="O7" i="5"/>
  <c r="L7" i="5"/>
  <c r="G7" i="5"/>
  <c r="X6" i="5"/>
  <c r="U6" i="5"/>
  <c r="R6" i="5"/>
  <c r="O6" i="5"/>
  <c r="L6" i="5"/>
  <c r="G6" i="5"/>
  <c r="X5" i="5"/>
  <c r="U5" i="5"/>
  <c r="R5" i="5"/>
  <c r="O5" i="5"/>
  <c r="L5" i="5"/>
  <c r="G5" i="5"/>
  <c r="X4" i="5"/>
  <c r="U4" i="5"/>
  <c r="R4" i="5"/>
  <c r="O4" i="5"/>
  <c r="L4" i="5"/>
  <c r="G4" i="5"/>
  <c r="X3" i="5"/>
  <c r="U3" i="5"/>
  <c r="R3" i="5"/>
  <c r="O3" i="5"/>
  <c r="L3" i="5"/>
  <c r="G3" i="5"/>
  <c r="X2" i="5"/>
  <c r="U2" i="5"/>
  <c r="R2" i="5"/>
  <c r="O2" i="5"/>
  <c r="L2" i="5"/>
  <c r="G2" i="5"/>
  <c r="G26" i="6" l="1"/>
  <c r="G18" i="6"/>
  <c r="G10" i="6"/>
  <c r="G2" i="6"/>
  <c r="G28" i="6"/>
  <c r="G20" i="6"/>
  <c r="G32" i="6"/>
  <c r="G31" i="6"/>
  <c r="G21" i="6"/>
  <c r="G13" i="6"/>
  <c r="G24" i="6"/>
  <c r="G16" i="6"/>
  <c r="G5" i="6"/>
  <c r="G23" i="6"/>
  <c r="G15" i="6"/>
  <c r="G7" i="6"/>
  <c r="G12" i="6"/>
  <c r="G4" i="6"/>
  <c r="G22" i="6"/>
  <c r="G14" i="6"/>
  <c r="G6" i="6"/>
  <c r="G27" i="6"/>
  <c r="G19" i="6"/>
  <c r="G11" i="6"/>
  <c r="K5" i="6"/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2" i="4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Q33" i="4"/>
  <c r="R33" i="4" s="1"/>
  <c r="Q34" i="4"/>
  <c r="R34" i="4" s="1"/>
  <c r="Q35" i="4"/>
  <c r="R35" i="4" s="1"/>
  <c r="Q36" i="4"/>
  <c r="R36" i="4" s="1"/>
  <c r="Q37" i="4"/>
  <c r="R37" i="4" s="1"/>
  <c r="Q38" i="4"/>
  <c r="R38" i="4" s="1"/>
  <c r="Q39" i="4"/>
  <c r="R39" i="4" s="1"/>
  <c r="Q40" i="4"/>
  <c r="R40" i="4" s="1"/>
  <c r="Q41" i="4"/>
  <c r="R41" i="4" s="1"/>
  <c r="Q42" i="4"/>
  <c r="R42" i="4" s="1"/>
  <c r="Q43" i="4"/>
  <c r="R43" i="4" s="1"/>
  <c r="Q44" i="4"/>
  <c r="R44" i="4" s="1"/>
  <c r="Q45" i="4"/>
  <c r="R45" i="4" s="1"/>
  <c r="Q46" i="4"/>
  <c r="R46" i="4" s="1"/>
  <c r="Q47" i="4"/>
  <c r="R47" i="4" s="1"/>
  <c r="Q48" i="4"/>
  <c r="R48" i="4" s="1"/>
  <c r="Q49" i="4"/>
  <c r="R49" i="4" s="1"/>
  <c r="Q50" i="4"/>
  <c r="R50" i="4" s="1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R57" i="4" s="1"/>
  <c r="Q58" i="4"/>
  <c r="R58" i="4" s="1"/>
  <c r="Q59" i="4"/>
  <c r="R59" i="4" s="1"/>
  <c r="Q60" i="4"/>
  <c r="R60" i="4" s="1"/>
  <c r="Q61" i="4"/>
  <c r="R61" i="4" s="1"/>
  <c r="Q62" i="4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R69" i="4" s="1"/>
  <c r="Q70" i="4"/>
  <c r="R70" i="4" s="1"/>
  <c r="Q71" i="4"/>
  <c r="R71" i="4" s="1"/>
  <c r="Q72" i="4"/>
  <c r="R72" i="4" s="1"/>
  <c r="Q73" i="4"/>
  <c r="R73" i="4" s="1"/>
  <c r="Q74" i="4"/>
  <c r="R74" i="4" s="1"/>
  <c r="Q75" i="4"/>
  <c r="R75" i="4" s="1"/>
  <c r="Q76" i="4"/>
  <c r="R76" i="4" s="1"/>
  <c r="Q77" i="4"/>
  <c r="R77" i="4" s="1"/>
  <c r="Q78" i="4"/>
  <c r="R78" i="4" s="1"/>
  <c r="Q79" i="4"/>
  <c r="R79" i="4" s="1"/>
  <c r="Q80" i="4"/>
  <c r="R80" i="4" s="1"/>
  <c r="Q81" i="4"/>
  <c r="R81" i="4" s="1"/>
  <c r="Q82" i="4"/>
  <c r="R82" i="4" s="1"/>
  <c r="Q83" i="4"/>
  <c r="R83" i="4" s="1"/>
  <c r="Q84" i="4"/>
  <c r="R84" i="4" s="1"/>
  <c r="Q85" i="4"/>
  <c r="R85" i="4" s="1"/>
  <c r="Q86" i="4"/>
  <c r="R86" i="4" s="1"/>
  <c r="Q87" i="4"/>
  <c r="R87" i="4" s="1"/>
  <c r="Q88" i="4"/>
  <c r="R88" i="4" s="1"/>
  <c r="Q89" i="4"/>
  <c r="R89" i="4" s="1"/>
  <c r="Q90" i="4"/>
  <c r="R90" i="4" s="1"/>
  <c r="Q91" i="4"/>
  <c r="R91" i="4" s="1"/>
  <c r="Q2" i="4"/>
  <c r="R2" i="4" s="1"/>
  <c r="M3" i="4"/>
  <c r="N3" i="4" s="1"/>
  <c r="M4" i="4"/>
  <c r="N4" i="4" s="1"/>
  <c r="M5" i="4"/>
  <c r="N5" i="4" s="1"/>
  <c r="M6" i="4"/>
  <c r="N6" i="4" s="1"/>
  <c r="M7" i="4"/>
  <c r="N7" i="4" s="1"/>
  <c r="M8" i="4"/>
  <c r="N8" i="4" s="1"/>
  <c r="M9" i="4"/>
  <c r="N9" i="4" s="1"/>
  <c r="M10" i="4"/>
  <c r="N10" i="4" s="1"/>
  <c r="M11" i="4"/>
  <c r="N11" i="4" s="1"/>
  <c r="M12" i="4"/>
  <c r="N12" i="4" s="1"/>
  <c r="M13" i="4"/>
  <c r="N13" i="4" s="1"/>
  <c r="M14" i="4"/>
  <c r="N14" i="4" s="1"/>
  <c r="M15" i="4"/>
  <c r="N15" i="4" s="1"/>
  <c r="M16" i="4"/>
  <c r="N16" i="4" s="1"/>
  <c r="M17" i="4"/>
  <c r="N17" i="4" s="1"/>
  <c r="M18" i="4"/>
  <c r="N18" i="4" s="1"/>
  <c r="M19" i="4"/>
  <c r="N19" i="4" s="1"/>
  <c r="M20" i="4"/>
  <c r="N20" i="4" s="1"/>
  <c r="M21" i="4"/>
  <c r="N21" i="4" s="1"/>
  <c r="M22" i="4"/>
  <c r="N22" i="4" s="1"/>
  <c r="M23" i="4"/>
  <c r="N23" i="4" s="1"/>
  <c r="M24" i="4"/>
  <c r="N24" i="4" s="1"/>
  <c r="M25" i="4"/>
  <c r="N25" i="4" s="1"/>
  <c r="M26" i="4"/>
  <c r="N26" i="4" s="1"/>
  <c r="M27" i="4"/>
  <c r="N27" i="4" s="1"/>
  <c r="M28" i="4"/>
  <c r="N28" i="4" s="1"/>
  <c r="M29" i="4"/>
  <c r="N29" i="4" s="1"/>
  <c r="M30" i="4"/>
  <c r="N30" i="4" s="1"/>
  <c r="M31" i="4"/>
  <c r="N31" i="4" s="1"/>
  <c r="M32" i="4"/>
  <c r="M33" i="4"/>
  <c r="N33" i="4" s="1"/>
  <c r="M34" i="4"/>
  <c r="N34" i="4" s="1"/>
  <c r="M35" i="4"/>
  <c r="N35" i="4" s="1"/>
  <c r="M36" i="4"/>
  <c r="N36" i="4" s="1"/>
  <c r="M37" i="4"/>
  <c r="N37" i="4" s="1"/>
  <c r="M38" i="4"/>
  <c r="N38" i="4" s="1"/>
  <c r="M39" i="4"/>
  <c r="N39" i="4" s="1"/>
  <c r="M40" i="4"/>
  <c r="N40" i="4" s="1"/>
  <c r="M41" i="4"/>
  <c r="N41" i="4" s="1"/>
  <c r="M42" i="4"/>
  <c r="N42" i="4" s="1"/>
  <c r="M43" i="4"/>
  <c r="N43" i="4" s="1"/>
  <c r="M44" i="4"/>
  <c r="N44" i="4" s="1"/>
  <c r="M45" i="4"/>
  <c r="N45" i="4" s="1"/>
  <c r="M46" i="4"/>
  <c r="N46" i="4" s="1"/>
  <c r="M47" i="4"/>
  <c r="N47" i="4" s="1"/>
  <c r="M48" i="4"/>
  <c r="N48" i="4" s="1"/>
  <c r="M49" i="4"/>
  <c r="N49" i="4" s="1"/>
  <c r="M50" i="4"/>
  <c r="N50" i="4" s="1"/>
  <c r="M51" i="4"/>
  <c r="N51" i="4" s="1"/>
  <c r="M52" i="4"/>
  <c r="N52" i="4" s="1"/>
  <c r="M53" i="4"/>
  <c r="N53" i="4" s="1"/>
  <c r="M54" i="4"/>
  <c r="N54" i="4" s="1"/>
  <c r="M55" i="4"/>
  <c r="N55" i="4" s="1"/>
  <c r="M56" i="4"/>
  <c r="N56" i="4" s="1"/>
  <c r="M57" i="4"/>
  <c r="N57" i="4" s="1"/>
  <c r="M58" i="4"/>
  <c r="N58" i="4" s="1"/>
  <c r="M59" i="4"/>
  <c r="N59" i="4" s="1"/>
  <c r="M60" i="4"/>
  <c r="N60" i="4" s="1"/>
  <c r="M61" i="4"/>
  <c r="N61" i="4" s="1"/>
  <c r="M62" i="4"/>
  <c r="M63" i="4"/>
  <c r="N63" i="4" s="1"/>
  <c r="M64" i="4"/>
  <c r="N64" i="4" s="1"/>
  <c r="M65" i="4"/>
  <c r="N65" i="4" s="1"/>
  <c r="M66" i="4"/>
  <c r="N66" i="4" s="1"/>
  <c r="M67" i="4"/>
  <c r="N67" i="4" s="1"/>
  <c r="M68" i="4"/>
  <c r="N68" i="4" s="1"/>
  <c r="M69" i="4"/>
  <c r="N69" i="4" s="1"/>
  <c r="M70" i="4"/>
  <c r="N70" i="4" s="1"/>
  <c r="M71" i="4"/>
  <c r="N71" i="4" s="1"/>
  <c r="M72" i="4"/>
  <c r="N72" i="4" s="1"/>
  <c r="M73" i="4"/>
  <c r="N73" i="4" s="1"/>
  <c r="M74" i="4"/>
  <c r="N74" i="4" s="1"/>
  <c r="M75" i="4"/>
  <c r="N75" i="4" s="1"/>
  <c r="M76" i="4"/>
  <c r="N76" i="4" s="1"/>
  <c r="M77" i="4"/>
  <c r="N77" i="4" s="1"/>
  <c r="M78" i="4"/>
  <c r="N78" i="4" s="1"/>
  <c r="M79" i="4"/>
  <c r="N79" i="4" s="1"/>
  <c r="M80" i="4"/>
  <c r="N80" i="4" s="1"/>
  <c r="M81" i="4"/>
  <c r="N81" i="4" s="1"/>
  <c r="M82" i="4"/>
  <c r="N82" i="4" s="1"/>
  <c r="M83" i="4"/>
  <c r="N83" i="4" s="1"/>
  <c r="M84" i="4"/>
  <c r="N84" i="4" s="1"/>
  <c r="M85" i="4"/>
  <c r="N85" i="4" s="1"/>
  <c r="M86" i="4"/>
  <c r="N86" i="4" s="1"/>
  <c r="M87" i="4"/>
  <c r="N87" i="4" s="1"/>
  <c r="M88" i="4"/>
  <c r="N88" i="4" s="1"/>
  <c r="M89" i="4"/>
  <c r="N89" i="4" s="1"/>
  <c r="M90" i="4"/>
  <c r="N90" i="4" s="1"/>
  <c r="M91" i="4"/>
  <c r="N91" i="4" s="1"/>
  <c r="M2" i="4"/>
  <c r="N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I33" i="4"/>
  <c r="J33" i="4" s="1"/>
  <c r="I34" i="4"/>
  <c r="J34" i="4" s="1"/>
  <c r="I35" i="4"/>
  <c r="J35" i="4" s="1"/>
  <c r="I36" i="4"/>
  <c r="J36" i="4" s="1"/>
  <c r="I37" i="4"/>
  <c r="J37" i="4" s="1"/>
  <c r="I38" i="4"/>
  <c r="J38" i="4" s="1"/>
  <c r="I39" i="4"/>
  <c r="J39" i="4" s="1"/>
  <c r="I40" i="4"/>
  <c r="J40" i="4" s="1"/>
  <c r="I41" i="4"/>
  <c r="J41" i="4" s="1"/>
  <c r="I42" i="4"/>
  <c r="J42" i="4" s="1"/>
  <c r="I43" i="4"/>
  <c r="J43" i="4" s="1"/>
  <c r="I44" i="4"/>
  <c r="J44" i="4" s="1"/>
  <c r="I45" i="4"/>
  <c r="J45" i="4" s="1"/>
  <c r="I46" i="4"/>
  <c r="J46" i="4" s="1"/>
  <c r="I47" i="4"/>
  <c r="J47" i="4" s="1"/>
  <c r="I48" i="4"/>
  <c r="J48" i="4" s="1"/>
  <c r="I49" i="4"/>
  <c r="J49" i="4" s="1"/>
  <c r="I50" i="4"/>
  <c r="J50" i="4" s="1"/>
  <c r="I51" i="4"/>
  <c r="J51" i="4" s="1"/>
  <c r="I52" i="4"/>
  <c r="J52" i="4" s="1"/>
  <c r="I53" i="4"/>
  <c r="J53" i="4" s="1"/>
  <c r="I54" i="4"/>
  <c r="J54" i="4" s="1"/>
  <c r="I55" i="4"/>
  <c r="J55" i="4" s="1"/>
  <c r="I56" i="4"/>
  <c r="J56" i="4" s="1"/>
  <c r="I57" i="4"/>
  <c r="J57" i="4" s="1"/>
  <c r="I58" i="4"/>
  <c r="J58" i="4" s="1"/>
  <c r="I59" i="4"/>
  <c r="J59" i="4" s="1"/>
  <c r="I60" i="4"/>
  <c r="J60" i="4" s="1"/>
  <c r="I61" i="4"/>
  <c r="J61" i="4" s="1"/>
  <c r="I62" i="4"/>
  <c r="I63" i="4"/>
  <c r="J63" i="4" s="1"/>
  <c r="I64" i="4"/>
  <c r="J64" i="4" s="1"/>
  <c r="I65" i="4"/>
  <c r="J65" i="4" s="1"/>
  <c r="I66" i="4"/>
  <c r="J66" i="4" s="1"/>
  <c r="I67" i="4"/>
  <c r="J67" i="4" s="1"/>
  <c r="I68" i="4"/>
  <c r="J68" i="4" s="1"/>
  <c r="I69" i="4"/>
  <c r="J69" i="4" s="1"/>
  <c r="I70" i="4"/>
  <c r="J70" i="4" s="1"/>
  <c r="I71" i="4"/>
  <c r="J71" i="4" s="1"/>
  <c r="I72" i="4"/>
  <c r="J72" i="4" s="1"/>
  <c r="I73" i="4"/>
  <c r="J73" i="4" s="1"/>
  <c r="I74" i="4"/>
  <c r="J74" i="4" s="1"/>
  <c r="I75" i="4"/>
  <c r="J75" i="4" s="1"/>
  <c r="I76" i="4"/>
  <c r="J76" i="4" s="1"/>
  <c r="I77" i="4"/>
  <c r="J77" i="4" s="1"/>
  <c r="I78" i="4"/>
  <c r="J78" i="4" s="1"/>
  <c r="I79" i="4"/>
  <c r="J79" i="4" s="1"/>
  <c r="I80" i="4"/>
  <c r="J80" i="4" s="1"/>
  <c r="I81" i="4"/>
  <c r="J81" i="4" s="1"/>
  <c r="I82" i="4"/>
  <c r="J82" i="4" s="1"/>
  <c r="I83" i="4"/>
  <c r="J83" i="4" s="1"/>
  <c r="I84" i="4"/>
  <c r="J84" i="4" s="1"/>
  <c r="I85" i="4"/>
  <c r="J85" i="4" s="1"/>
  <c r="I86" i="4"/>
  <c r="J86" i="4" s="1"/>
  <c r="I87" i="4"/>
  <c r="J87" i="4" s="1"/>
  <c r="I88" i="4"/>
  <c r="J88" i="4" s="1"/>
  <c r="I89" i="4"/>
  <c r="J89" i="4" s="1"/>
  <c r="I90" i="4"/>
  <c r="J90" i="4" s="1"/>
  <c r="I91" i="4"/>
  <c r="J91" i="4" s="1"/>
  <c r="I2" i="4"/>
  <c r="J2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J62" i="4" l="1"/>
  <c r="E46" i="6" s="1"/>
  <c r="E98" i="8"/>
  <c r="R62" i="4"/>
  <c r="E108" i="8"/>
  <c r="N62" i="4"/>
  <c r="E103" i="8"/>
  <c r="J32" i="4"/>
  <c r="D98" i="8"/>
  <c r="N32" i="4"/>
  <c r="F47" i="6" s="1"/>
  <c r="D103" i="8"/>
  <c r="R32" i="4"/>
  <c r="E48" i="6" s="1"/>
  <c r="D108" i="8"/>
  <c r="E47" i="6" l="1"/>
  <c r="G47" i="6" s="1"/>
  <c r="D54" i="8" s="1"/>
  <c r="F46" i="6"/>
  <c r="F48" i="6"/>
  <c r="G48" i="6"/>
  <c r="D58" i="8" s="1"/>
  <c r="G46" i="6"/>
  <c r="D50" i="8" s="1"/>
</calcChain>
</file>

<file path=xl/sharedStrings.xml><?xml version="1.0" encoding="utf-8"?>
<sst xmlns="http://schemas.openxmlformats.org/spreadsheetml/2006/main" count="1041" uniqueCount="202">
  <si>
    <t>Parameter</t>
  </si>
  <si>
    <t>darshan</t>
  </si>
  <si>
    <t>mahffoz</t>
  </si>
  <si>
    <t>rakesh</t>
  </si>
  <si>
    <t>narendra</t>
  </si>
  <si>
    <t>sachin</t>
  </si>
  <si>
    <t>birma</t>
  </si>
  <si>
    <t>kailash</t>
  </si>
  <si>
    <t xml:space="preserve">shubham </t>
  </si>
  <si>
    <t>akash</t>
  </si>
  <si>
    <t>mayank</t>
  </si>
  <si>
    <t>chhhajuraj</t>
  </si>
  <si>
    <t>chetan</t>
  </si>
  <si>
    <t>rahul</t>
  </si>
  <si>
    <t>vikas</t>
  </si>
  <si>
    <t>babulal</t>
  </si>
  <si>
    <t>anurag</t>
  </si>
  <si>
    <t>surendra</t>
  </si>
  <si>
    <t>ramkesh</t>
  </si>
  <si>
    <t>Age (years)</t>
  </si>
  <si>
    <t>Weight (kg)</t>
  </si>
  <si>
    <t>Height (cm)</t>
  </si>
  <si>
    <t>Pre Hb (g/dL)</t>
  </si>
  <si>
    <t>Post Hb (g/dL)</t>
  </si>
  <si>
    <t>Pre HCT (%)</t>
  </si>
  <si>
    <t>Post HCT (%)</t>
  </si>
  <si>
    <t>Pre PLT (×10³/µL)</t>
  </si>
  <si>
    <t>Post PLT (×10³/µL)</t>
  </si>
  <si>
    <t>Pre MPV (fL)</t>
  </si>
  <si>
    <t>Post MPV (fL)</t>
  </si>
  <si>
    <t>Pre PDW (%)</t>
  </si>
  <si>
    <t>Post PDW (%)</t>
  </si>
  <si>
    <t>Blood Volume Processed (mL)</t>
  </si>
  <si>
    <t>Flow Rate (mL/min)</t>
  </si>
  <si>
    <t>Separation Time (min)</t>
  </si>
  <si>
    <t>Product Volume (mL)</t>
  </si>
  <si>
    <t>Platelet Count in Bag (×10³/µL)</t>
  </si>
  <si>
    <t>mean plt yield *1011</t>
  </si>
  <si>
    <t>collection efficiency  %</t>
  </si>
  <si>
    <t>collection rate plt 10*11/min</t>
  </si>
  <si>
    <t>SN</t>
  </si>
  <si>
    <t>Name</t>
  </si>
  <si>
    <t>System</t>
  </si>
  <si>
    <t>Amicus</t>
  </si>
  <si>
    <t>patient name</t>
  </si>
  <si>
    <t xml:space="preserve"> age yr</t>
  </si>
  <si>
    <t>weight kg</t>
  </si>
  <si>
    <t>height cm</t>
  </si>
  <si>
    <t>pre apheresis hb  gm/dl</t>
  </si>
  <si>
    <t>post  apheresis hb  gm/dl</t>
  </si>
  <si>
    <t>pre apheresis hct %</t>
  </si>
  <si>
    <t xml:space="preserve"> post apheresis hct %</t>
  </si>
  <si>
    <t>pre aphresis plt count *103/ul</t>
  </si>
  <si>
    <t>post aphresis plt count *103/ul</t>
  </si>
  <si>
    <t>pre apheresis MPV  fl</t>
  </si>
  <si>
    <t>post apheresis MPV  fl</t>
  </si>
  <si>
    <t>pre apheresis PDW  fl</t>
  </si>
  <si>
    <t xml:space="preserve"> post apheresis PDW  fl</t>
  </si>
  <si>
    <t>blood volume processed  ml</t>
  </si>
  <si>
    <t>flow rate  ml/min</t>
  </si>
  <si>
    <t>separation time  min</t>
  </si>
  <si>
    <t>product volume ml</t>
  </si>
  <si>
    <t>platelet count in sdp</t>
  </si>
  <si>
    <t>collection efficiecy   %</t>
  </si>
  <si>
    <t>hemraj</t>
  </si>
  <si>
    <t>26 yr</t>
  </si>
  <si>
    <t xml:space="preserve">4.22 *10 ki power 11 </t>
  </si>
  <si>
    <t>virendra</t>
  </si>
  <si>
    <t>739   10*3  /ul</t>
  </si>
  <si>
    <t>anuj</t>
  </si>
  <si>
    <t>aadesh</t>
  </si>
  <si>
    <t>sunil</t>
  </si>
  <si>
    <t>sitaram</t>
  </si>
  <si>
    <t>arvind</t>
  </si>
  <si>
    <t>manoj</t>
  </si>
  <si>
    <t>prahlad</t>
  </si>
  <si>
    <t>nadeem</t>
  </si>
  <si>
    <t>dharmendra</t>
  </si>
  <si>
    <t>ved prakash</t>
  </si>
  <si>
    <t>saksham</t>
  </si>
  <si>
    <t>rajesh</t>
  </si>
  <si>
    <t>Comtec</t>
  </si>
  <si>
    <t>gaurav</t>
  </si>
  <si>
    <t>yogesh</t>
  </si>
  <si>
    <t>ravindra</t>
  </si>
  <si>
    <t>ishak</t>
  </si>
  <si>
    <t>pushkar</t>
  </si>
  <si>
    <t>sajan</t>
  </si>
  <si>
    <t>sahil</t>
  </si>
  <si>
    <t>jayram</t>
  </si>
  <si>
    <t>Optia</t>
  </si>
  <si>
    <t>Age group</t>
  </si>
  <si>
    <t>Hb Difference</t>
  </si>
  <si>
    <t>HCT Difference</t>
  </si>
  <si>
    <t>PLT Difference</t>
  </si>
  <si>
    <t>MPV Difference</t>
  </si>
  <si>
    <t>PDW difference</t>
  </si>
  <si>
    <t>F</t>
  </si>
  <si>
    <t>Min</t>
  </si>
  <si>
    <t>Max</t>
  </si>
  <si>
    <t>Mean</t>
  </si>
  <si>
    <t>G</t>
  </si>
  <si>
    <t>H</t>
  </si>
  <si>
    <t>SD</t>
  </si>
  <si>
    <t>Mean ± SD</t>
  </si>
  <si>
    <t>SD Array formula type Ctrl+Shift+Enter</t>
  </si>
  <si>
    <t>Demographic data of donors</t>
  </si>
  <si>
    <t>Age(yrs)</t>
  </si>
  <si>
    <t>Height(cm)</t>
  </si>
  <si>
    <t>Weight(kg)</t>
  </si>
  <si>
    <t>Range</t>
  </si>
  <si>
    <t>Mean ±Sd</t>
  </si>
  <si>
    <t>160-182</t>
  </si>
  <si>
    <t>60-101</t>
  </si>
  <si>
    <t>29.24 ± 5.14</t>
  </si>
  <si>
    <t>173.37 ± 4.62</t>
  </si>
  <si>
    <t>75.21 ± 7.93</t>
  </si>
  <si>
    <t>30-34</t>
  </si>
  <si>
    <t>35-39</t>
  </si>
  <si>
    <t>20-24</t>
  </si>
  <si>
    <t>25-29</t>
  </si>
  <si>
    <t>40-44</t>
  </si>
  <si>
    <t>16-19</t>
  </si>
  <si>
    <t>Row Labels</t>
  </si>
  <si>
    <t>Grand Total</t>
  </si>
  <si>
    <t>19-43</t>
  </si>
  <si>
    <t>Count of Height (cm)</t>
  </si>
  <si>
    <t>Count of Weight (kg)</t>
  </si>
  <si>
    <t>Donors variables in various cell separators</t>
  </si>
  <si>
    <t>P-value</t>
  </si>
  <si>
    <t>Percentage Reduction Hb</t>
  </si>
  <si>
    <t>Percentage Reduction HCT</t>
  </si>
  <si>
    <t>Percentage Reduction PLT</t>
  </si>
  <si>
    <t>Percentage reduction in hematological values</t>
  </si>
  <si>
    <t>For Age</t>
  </si>
  <si>
    <t>For weight</t>
  </si>
  <si>
    <t>For height</t>
  </si>
  <si>
    <t>Percentage reduction Hb</t>
  </si>
  <si>
    <t>Percentage reduction HCT</t>
  </si>
  <si>
    <t>Percentage reducion PLT</t>
  </si>
  <si>
    <t>Percentage reduction</t>
  </si>
  <si>
    <t>Hb</t>
  </si>
  <si>
    <t>Pre</t>
  </si>
  <si>
    <t>Post</t>
  </si>
  <si>
    <t>HCT</t>
  </si>
  <si>
    <t>PLT</t>
  </si>
  <si>
    <t>For Blood volume processed</t>
  </si>
  <si>
    <t>For product volume otained</t>
  </si>
  <si>
    <t>For separation time</t>
  </si>
  <si>
    <t>For platelet count</t>
  </si>
  <si>
    <t>Comparison of operational and product variables among cell operators</t>
  </si>
  <si>
    <t>Blood Volume Processed</t>
  </si>
  <si>
    <t>Product Volume Obtained</t>
  </si>
  <si>
    <t>Separation time</t>
  </si>
  <si>
    <t>Platelet Count</t>
  </si>
  <si>
    <t>&lt;0.01</t>
  </si>
  <si>
    <t>Code mean plt count</t>
  </si>
  <si>
    <t>Plt yield</t>
  </si>
  <si>
    <t>&lt;3</t>
  </si>
  <si>
    <t>3-3.5</t>
  </si>
  <si>
    <t>&gt;3.5</t>
  </si>
  <si>
    <t>For mean plt yield</t>
  </si>
  <si>
    <t>Mean Plt Yield</t>
  </si>
  <si>
    <t>Correlation of plt yield with other variables</t>
  </si>
  <si>
    <t>Plt yield obtained</t>
  </si>
  <si>
    <t>Pre Hb</t>
  </si>
  <si>
    <t xml:space="preserve">Pre PLT </t>
  </si>
  <si>
    <t>Product Volume</t>
  </si>
  <si>
    <t>Sample Size</t>
  </si>
  <si>
    <t>Correlation Coefficient</t>
  </si>
  <si>
    <t>P-Value</t>
  </si>
  <si>
    <t>Pre and post apheresis hematological values of donors</t>
  </si>
  <si>
    <t>Hematological Values</t>
  </si>
  <si>
    <t>Difference</t>
  </si>
  <si>
    <t>P</t>
  </si>
  <si>
    <t>PLT Count</t>
  </si>
  <si>
    <t>14.72 ±0.943</t>
  </si>
  <si>
    <t>14.143 ±0.958</t>
  </si>
  <si>
    <t>0.577±0.231</t>
  </si>
  <si>
    <t>44.693±3.15</t>
  </si>
  <si>
    <t>42.993±3.202</t>
  </si>
  <si>
    <t>1.7±0.723</t>
  </si>
  <si>
    <t>267.067±57.929</t>
  </si>
  <si>
    <t>197.867±51.673</t>
  </si>
  <si>
    <t>69.2±17.125</t>
  </si>
  <si>
    <t>P-values</t>
  </si>
  <si>
    <t>&lt;0.001</t>
  </si>
  <si>
    <t>Column Labels</t>
  </si>
  <si>
    <t>Count of System</t>
  </si>
  <si>
    <t>Mean Hb Pre</t>
  </si>
  <si>
    <t>Mean Hb Post</t>
  </si>
  <si>
    <t>Mean HCT Pre</t>
  </si>
  <si>
    <t>Mean HCT Post</t>
  </si>
  <si>
    <t>Mean PLT Pre</t>
  </si>
  <si>
    <t>Mean PLT Post</t>
  </si>
  <si>
    <t>Percentage Reduction</t>
  </si>
  <si>
    <t>Count of Code mean plt count</t>
  </si>
  <si>
    <t>Platelet Yield</t>
  </si>
  <si>
    <t>&lt;3*10^11</t>
  </si>
  <si>
    <t>3-3.5*10^11</t>
  </si>
  <si>
    <t>&gt;3*10^11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</si>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</sst>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group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16-19</c:v>
              </c:pt>
              <c:pt idx="1">
                <c:v>20-24</c:v>
              </c:pt>
              <c:pt idx="2">
                <c:v>25-29</c:v>
              </c:pt>
              <c:pt idx="3">
                <c:v>30-34</c:v>
              </c:pt>
              <c:pt idx="4">
                <c:v>35-39</c:v>
              </c:pt>
              <c:pt idx="5">
                <c:v>40-44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14</c:v>
              </c:pt>
              <c:pt idx="2">
                <c:v>33</c:v>
              </c:pt>
              <c:pt idx="3">
                <c:v>27</c:v>
              </c:pt>
              <c:pt idx="4">
                <c:v>10</c:v>
              </c:pt>
              <c:pt idx="5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4EE1-4F1F-BEA5-0FAFE8E4EE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6092447"/>
        <c:axId val="247528831"/>
      </c:barChart>
      <c:catAx>
        <c:axId val="212609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28831"/>
        <c:crosses val="autoZero"/>
        <c:auto val="1"/>
        <c:lblAlgn val="ctr"/>
        <c:lblOffset val="100"/>
        <c:noMultiLvlLbl val="0"/>
      </c:catAx>
      <c:valAx>
        <c:axId val="24752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09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Age Group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4A-43A3-A475-60995B8CC29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4A-43A3-A475-60995B8CC29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4A-43A3-A475-60995B8CC29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4A-43A3-A475-60995B8CC29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4A-43A3-A475-60995B8CC29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4A-43A3-A475-60995B8CC2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16-19</c:v>
              </c:pt>
              <c:pt idx="1">
                <c:v>20-24</c:v>
              </c:pt>
              <c:pt idx="2">
                <c:v>25-29</c:v>
              </c:pt>
              <c:pt idx="3">
                <c:v>30-34</c:v>
              </c:pt>
              <c:pt idx="4">
                <c:v>35-39</c:v>
              </c:pt>
              <c:pt idx="5">
                <c:v>40-44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14</c:v>
              </c:pt>
              <c:pt idx="2">
                <c:v>33</c:v>
              </c:pt>
              <c:pt idx="3">
                <c:v>27</c:v>
              </c:pt>
              <c:pt idx="4">
                <c:v>10</c:v>
              </c:pt>
              <c:pt idx="5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55FF-4EEB-8C40-7E019DA480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31094484346121"/>
          <c:y val="0.2811258427255417"/>
          <c:w val="0.18014256740634693"/>
          <c:h val="0.61376923472801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160</c:v>
              </c:pt>
              <c:pt idx="1">
                <c:v>165</c:v>
              </c:pt>
              <c:pt idx="2">
                <c:v>166</c:v>
              </c:pt>
              <c:pt idx="3">
                <c:v>167</c:v>
              </c:pt>
              <c:pt idx="4">
                <c:v>168</c:v>
              </c:pt>
              <c:pt idx="5">
                <c:v>169</c:v>
              </c:pt>
              <c:pt idx="6">
                <c:v>170</c:v>
              </c:pt>
              <c:pt idx="7">
                <c:v>171</c:v>
              </c:pt>
              <c:pt idx="8">
                <c:v>172</c:v>
              </c:pt>
              <c:pt idx="9">
                <c:v>173</c:v>
              </c:pt>
              <c:pt idx="10">
                <c:v>174</c:v>
              </c:pt>
              <c:pt idx="11">
                <c:v>175</c:v>
              </c:pt>
              <c:pt idx="12">
                <c:v>176</c:v>
              </c:pt>
              <c:pt idx="13">
                <c:v>177</c:v>
              </c:pt>
              <c:pt idx="14">
                <c:v>178</c:v>
              </c:pt>
              <c:pt idx="15">
                <c:v>179</c:v>
              </c:pt>
              <c:pt idx="16">
                <c:v>180</c:v>
              </c:pt>
              <c:pt idx="17">
                <c:v>181</c:v>
              </c:pt>
              <c:pt idx="18">
                <c:v>182</c:v>
              </c:pt>
            </c:strLit>
          </c:cat>
          <c:val>
            <c:numLit>
              <c:formatCode>General</c:formatCode>
              <c:ptCount val="19"/>
              <c:pt idx="0">
                <c:v>2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6</c:v>
              </c:pt>
              <c:pt idx="5">
                <c:v>4</c:v>
              </c:pt>
              <c:pt idx="6">
                <c:v>10</c:v>
              </c:pt>
              <c:pt idx="7">
                <c:v>2</c:v>
              </c:pt>
              <c:pt idx="8">
                <c:v>9</c:v>
              </c:pt>
              <c:pt idx="9">
                <c:v>3</c:v>
              </c:pt>
              <c:pt idx="10">
                <c:v>10</c:v>
              </c:pt>
              <c:pt idx="11">
                <c:v>10</c:v>
              </c:pt>
              <c:pt idx="12">
                <c:v>6</c:v>
              </c:pt>
              <c:pt idx="13">
                <c:v>5</c:v>
              </c:pt>
              <c:pt idx="14">
                <c:v>6</c:v>
              </c:pt>
              <c:pt idx="15">
                <c:v>3</c:v>
              </c:pt>
              <c:pt idx="16">
                <c:v>5</c:v>
              </c:pt>
              <c:pt idx="17">
                <c:v>2</c:v>
              </c:pt>
              <c:pt idx="1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F663-4878-A167-D4042FDE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995727"/>
        <c:axId val="340482527"/>
      </c:barChart>
      <c:catAx>
        <c:axId val="47499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82527"/>
        <c:crosses val="autoZero"/>
        <c:auto val="1"/>
        <c:lblAlgn val="ctr"/>
        <c:lblOffset val="100"/>
        <c:noMultiLvlLbl val="0"/>
      </c:catAx>
      <c:valAx>
        <c:axId val="34048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9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60</c:v>
              </c:pt>
              <c:pt idx="1">
                <c:v>62</c:v>
              </c:pt>
              <c:pt idx="2">
                <c:v>65</c:v>
              </c:pt>
              <c:pt idx="3">
                <c:v>66</c:v>
              </c:pt>
              <c:pt idx="4">
                <c:v>67</c:v>
              </c:pt>
              <c:pt idx="5">
                <c:v>68</c:v>
              </c:pt>
              <c:pt idx="6">
                <c:v>69</c:v>
              </c:pt>
              <c:pt idx="7">
                <c:v>70</c:v>
              </c:pt>
              <c:pt idx="8">
                <c:v>71</c:v>
              </c:pt>
              <c:pt idx="9">
                <c:v>72</c:v>
              </c:pt>
              <c:pt idx="10">
                <c:v>73</c:v>
              </c:pt>
              <c:pt idx="11">
                <c:v>74</c:v>
              </c:pt>
              <c:pt idx="12">
                <c:v>75</c:v>
              </c:pt>
              <c:pt idx="13">
                <c:v>76</c:v>
              </c:pt>
              <c:pt idx="14">
                <c:v>77</c:v>
              </c:pt>
              <c:pt idx="15">
                <c:v>78</c:v>
              </c:pt>
              <c:pt idx="16">
                <c:v>79</c:v>
              </c:pt>
              <c:pt idx="17">
                <c:v>80</c:v>
              </c:pt>
              <c:pt idx="18">
                <c:v>82</c:v>
              </c:pt>
              <c:pt idx="19">
                <c:v>83</c:v>
              </c:pt>
              <c:pt idx="20">
                <c:v>84</c:v>
              </c:pt>
              <c:pt idx="21">
                <c:v>85</c:v>
              </c:pt>
              <c:pt idx="22">
                <c:v>86</c:v>
              </c:pt>
              <c:pt idx="23">
                <c:v>92</c:v>
              </c:pt>
              <c:pt idx="24">
                <c:v>96</c:v>
              </c:pt>
              <c:pt idx="25">
                <c:v>98</c:v>
              </c:pt>
              <c:pt idx="26">
                <c:v>100</c:v>
              </c:pt>
              <c:pt idx="27">
                <c:v>101</c:v>
              </c:pt>
            </c:strLit>
          </c:cat>
          <c:val>
            <c:numLit>
              <c:formatCode>General</c:formatCode>
              <c:ptCount val="28"/>
              <c:pt idx="0">
                <c:v>3</c:v>
              </c:pt>
              <c:pt idx="1">
                <c:v>1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  <c:pt idx="5">
                <c:v>5</c:v>
              </c:pt>
              <c:pt idx="6">
                <c:v>4</c:v>
              </c:pt>
              <c:pt idx="7">
                <c:v>5</c:v>
              </c:pt>
              <c:pt idx="8">
                <c:v>2</c:v>
              </c:pt>
              <c:pt idx="9">
                <c:v>7</c:v>
              </c:pt>
              <c:pt idx="10">
                <c:v>3</c:v>
              </c:pt>
              <c:pt idx="11">
                <c:v>4</c:v>
              </c:pt>
              <c:pt idx="12">
                <c:v>9</c:v>
              </c:pt>
              <c:pt idx="13">
                <c:v>4</c:v>
              </c:pt>
              <c:pt idx="14">
                <c:v>8</c:v>
              </c:pt>
              <c:pt idx="15">
                <c:v>4</c:v>
              </c:pt>
              <c:pt idx="16">
                <c:v>5</c:v>
              </c:pt>
              <c:pt idx="17">
                <c:v>5</c:v>
              </c:pt>
              <c:pt idx="18">
                <c:v>2</c:v>
              </c:pt>
              <c:pt idx="19">
                <c:v>3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743-4329-84FB-EB829B6D6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942575"/>
        <c:axId val="341620831"/>
      </c:barChart>
      <c:catAx>
        <c:axId val="212194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20831"/>
        <c:crosses val="autoZero"/>
        <c:auto val="1"/>
        <c:lblAlgn val="ctr"/>
        <c:lblOffset val="100"/>
        <c:noMultiLvlLbl val="0"/>
      </c:catAx>
      <c:valAx>
        <c:axId val="3416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94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[overall_master.xlsx]Sheet7!PivotTable13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Age Distribution of Donors by Cell Separator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Amicus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Sheet7!$A$5:$A$28</c:f>
              <c:strCache>
                <c:ptCount val="2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</c:strCache>
            </c:strRef>
          </c:cat>
          <c:val>
            <c:numRef>
              <c:f>Sheet7!$B$5:$B$28</c:f>
              <c:numCache>
                <c:formatCode>General</c:formatCode>
                <c:ptCount val="23"/>
                <c:pt idx="1">
                  <c:v>1</c:v>
                </c:pt>
                <c:pt idx="3">
                  <c:v>2</c:v>
                </c:pt>
                <c:pt idx="5">
                  <c:v>3</c:v>
                </c:pt>
                <c:pt idx="6">
                  <c:v>2</c:v>
                </c:pt>
                <c:pt idx="8">
                  <c:v>3</c:v>
                </c:pt>
                <c:pt idx="9">
                  <c:v>3</c:v>
                </c:pt>
                <c:pt idx="11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E-4D04-AB7F-6181BD4FB1D7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Comtec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Sheet7!$A$5:$A$28</c:f>
              <c:strCache>
                <c:ptCount val="2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</c:strCache>
            </c:strRef>
          </c:cat>
          <c:val>
            <c:numRef>
              <c:f>Sheet7!$C$5:$C$28</c:f>
              <c:numCache>
                <c:formatCode>General</c:formatCode>
                <c:ptCount val="23"/>
                <c:pt idx="0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BE-4D04-AB7F-6181BD4FB1D7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Optia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Sheet7!$A$5:$A$28</c:f>
              <c:strCache>
                <c:ptCount val="2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42</c:v>
                </c:pt>
                <c:pt idx="22">
                  <c:v>43</c:v>
                </c:pt>
              </c:strCache>
            </c:strRef>
          </c:cat>
          <c:val>
            <c:numRef>
              <c:f>Sheet7!$D$5:$D$28</c:f>
              <c:numCache>
                <c:formatCode>General</c:formatCode>
                <c:ptCount val="23"/>
                <c:pt idx="2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BE-4D04-AB7F-6181BD4FB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305184"/>
        <c:axId val="437163440"/>
      </c:barChart>
      <c:catAx>
        <c:axId val="42030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63440"/>
        <c:crosses val="autoZero"/>
        <c:auto val="1"/>
        <c:lblAlgn val="ctr"/>
        <c:lblOffset val="100"/>
        <c:noMultiLvlLbl val="0"/>
      </c:catAx>
      <c:valAx>
        <c:axId val="4371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donors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0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Average Pre and Post Hemoglobin by Separator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Sheet7!$C$34</c:f>
              <c:strCache>
                <c:ptCount val="1"/>
                <c:pt idx="0">
                  <c:v>Amicus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Sheet7!$B$35:$B$42</c:f>
              <c:strCache>
                <c:ptCount val="8"/>
                <c:pt idx="0">
                  <c:v>Mean Hb Pre</c:v>
                </c:pt>
                <c:pt idx="1">
                  <c:v>Mean Hb Post</c:v>
                </c:pt>
                <c:pt idx="3">
                  <c:v>Mean HCT Pre</c:v>
                </c:pt>
                <c:pt idx="4">
                  <c:v>Mean HCT Post</c:v>
                </c:pt>
                <c:pt idx="6">
                  <c:v>Mean PLT Pre</c:v>
                </c:pt>
                <c:pt idx="7">
                  <c:v>Mean PLT Post</c:v>
                </c:pt>
              </c:strCache>
            </c:strRef>
          </c:cat>
          <c:val>
            <c:numRef>
              <c:f>Sheet7!$C$35:$C$42</c:f>
              <c:numCache>
                <c:formatCode>General</c:formatCode>
                <c:ptCount val="8"/>
                <c:pt idx="0">
                  <c:v>14.72</c:v>
                </c:pt>
                <c:pt idx="1">
                  <c:v>14.143000000000001</c:v>
                </c:pt>
                <c:pt idx="3">
                  <c:v>44.692999999999998</c:v>
                </c:pt>
                <c:pt idx="4">
                  <c:v>42.993000000000002</c:v>
                </c:pt>
                <c:pt idx="6">
                  <c:v>267.06700000000001</c:v>
                </c:pt>
                <c:pt idx="7">
                  <c:v>197.86699999999999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5-4720-A005-7AE67AC5B25A}"/>
            </c:ext>
          </c:extLst>
        </c:ser>
        <c:ser>
          <c:idx val="1"/>
          <c:order val="1"/>
          <c:tx>
            <c:strRef>
              <c:f>Sheet7!$D$34</c:f>
              <c:strCache>
                <c:ptCount val="1"/>
                <c:pt idx="0">
                  <c:v>Comtec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Sheet7!$B$35:$B$42</c:f>
              <c:strCache>
                <c:ptCount val="8"/>
                <c:pt idx="0">
                  <c:v>Mean Hb Pre</c:v>
                </c:pt>
                <c:pt idx="1">
                  <c:v>Mean Hb Post</c:v>
                </c:pt>
                <c:pt idx="3">
                  <c:v>Mean HCT Pre</c:v>
                </c:pt>
                <c:pt idx="4">
                  <c:v>Mean HCT Post</c:v>
                </c:pt>
                <c:pt idx="6">
                  <c:v>Mean PLT Pre</c:v>
                </c:pt>
                <c:pt idx="7">
                  <c:v>Mean PLT Post</c:v>
                </c:pt>
              </c:strCache>
            </c:strRef>
          </c:cat>
          <c:val>
            <c:numRef>
              <c:f>Sheet7!$D$35:$D$42</c:f>
              <c:numCache>
                <c:formatCode>General</c:formatCode>
                <c:ptCount val="8"/>
                <c:pt idx="0">
                  <c:v>14.91</c:v>
                </c:pt>
                <c:pt idx="1">
                  <c:v>14.52</c:v>
                </c:pt>
                <c:pt idx="3">
                  <c:v>43.74</c:v>
                </c:pt>
                <c:pt idx="4">
                  <c:v>42.44</c:v>
                </c:pt>
                <c:pt idx="6">
                  <c:v>304.57</c:v>
                </c:pt>
                <c:pt idx="7">
                  <c:v>218.17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5-4720-A005-7AE67AC5B25A}"/>
            </c:ext>
          </c:extLst>
        </c:ser>
        <c:ser>
          <c:idx val="2"/>
          <c:order val="2"/>
          <c:tx>
            <c:strRef>
              <c:f>Sheet7!$E$34</c:f>
              <c:strCache>
                <c:ptCount val="1"/>
                <c:pt idx="0">
                  <c:v>Optia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Sheet7!$B$35:$B$42</c:f>
              <c:strCache>
                <c:ptCount val="8"/>
                <c:pt idx="0">
                  <c:v>Mean Hb Pre</c:v>
                </c:pt>
                <c:pt idx="1">
                  <c:v>Mean Hb Post</c:v>
                </c:pt>
                <c:pt idx="3">
                  <c:v>Mean HCT Pre</c:v>
                </c:pt>
                <c:pt idx="4">
                  <c:v>Mean HCT Post</c:v>
                </c:pt>
                <c:pt idx="6">
                  <c:v>Mean PLT Pre</c:v>
                </c:pt>
                <c:pt idx="7">
                  <c:v>Mean PLT Post</c:v>
                </c:pt>
              </c:strCache>
            </c:strRef>
          </c:cat>
          <c:val>
            <c:numRef>
              <c:f>Sheet7!$E$35:$E$42</c:f>
              <c:numCache>
                <c:formatCode>General</c:formatCode>
                <c:ptCount val="8"/>
                <c:pt idx="0">
                  <c:v>14.8</c:v>
                </c:pt>
                <c:pt idx="1">
                  <c:v>14.36</c:v>
                </c:pt>
                <c:pt idx="3">
                  <c:v>42.46</c:v>
                </c:pt>
                <c:pt idx="4">
                  <c:v>41.74</c:v>
                </c:pt>
                <c:pt idx="6">
                  <c:v>252.17</c:v>
                </c:pt>
                <c:pt idx="7">
                  <c:v>197.37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5-4720-A005-7AE67AC5B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859024"/>
        <c:axId val="437182576"/>
      </c:barChart>
      <c:catAx>
        <c:axId val="40985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82576"/>
        <c:crosses val="autoZero"/>
        <c:auto val="1"/>
        <c:lblAlgn val="ctr"/>
        <c:lblOffset val="100"/>
        <c:noMultiLvlLbl val="0"/>
      </c:catAx>
      <c:valAx>
        <c:axId val="4371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5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Comparison of % Reduction in Hematological Values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Sheet7!$B$52</c:f>
              <c:strCache>
                <c:ptCount val="1"/>
                <c:pt idx="0">
                  <c:v>Hb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Sheet7!$C$51:$E$51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Sheet7!$C$52:$E$52</c:f>
              <c:numCache>
                <c:formatCode>0.00%</c:formatCode>
                <c:ptCount val="3"/>
                <c:pt idx="0">
                  <c:v>3.9198369565217384E-2</c:v>
                </c:pt>
                <c:pt idx="1">
                  <c:v>2.6156941649899398E-2</c:v>
                </c:pt>
                <c:pt idx="2">
                  <c:v>2.9729729729729728E-2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2-4CD9-AA0A-48F11D365E29}"/>
            </c:ext>
          </c:extLst>
        </c:ser>
        <c:ser>
          <c:idx val="2"/>
          <c:order val="2"/>
          <c:tx>
            <c:strRef>
              <c:f>Sheet7!$B$54</c:f>
              <c:strCache>
                <c:ptCount val="1"/>
                <c:pt idx="0">
                  <c:v>HCT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Sheet7!$C$51:$E$51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Sheet7!$C$54:$E$54</c:f>
              <c:numCache>
                <c:formatCode>0.00%</c:formatCode>
                <c:ptCount val="3"/>
                <c:pt idx="0">
                  <c:v>3.8037276531000384E-2</c:v>
                </c:pt>
                <c:pt idx="1">
                  <c:v>2.9721079103795154E-2</c:v>
                </c:pt>
                <c:pt idx="2">
                  <c:v>1.7192651907677815E-2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D2-4CD9-AA0A-48F11D365E29}"/>
            </c:ext>
          </c:extLst>
        </c:ser>
        <c:ser>
          <c:idx val="4"/>
          <c:order val="4"/>
          <c:tx>
            <c:strRef>
              <c:f>Sheet7!$B$56</c:f>
              <c:strCache>
                <c:ptCount val="1"/>
                <c:pt idx="0">
                  <c:v>PLT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Sheet7!$C$51:$E$51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Sheet7!$C$56:$E$56</c:f>
              <c:numCache>
                <c:formatCode>0.00%</c:formatCode>
                <c:ptCount val="3"/>
                <c:pt idx="0">
                  <c:v>0.25911100959684275</c:v>
                </c:pt>
                <c:pt idx="1">
                  <c:v>0.28367862888662709</c:v>
                </c:pt>
                <c:pt idx="2">
                  <c:v>0.21731371693698695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D2-4CD9-AA0A-48F11D365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447600"/>
        <c:axId val="2848337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Sheet7!$B$53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Sheet7!$C$51:$E$51</c15:sqref>
                        </c15:formulaRef>
                      </c:ext>
                    </c:extLst>
                    <c:strCache>
                      <c:ptCount val="3"/>
                      <c:pt idx="0">
                        <c:v>Amicus</c:v>
                      </c:pt>
                      <c:pt idx="1">
                        <c:v>Comtec</c:v>
                      </c:pt>
                      <c:pt idx="2">
                        <c:v>Optia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Sheet7!$C$53:$E$53</c15:sqref>
                        </c15:formulaRef>
                      </c:ext>
                    </c:extLst>
                    <c:numCache>
                      <c:formatCode>0.00%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AD2-4CD9-AA0A-48F11D365E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Sheet7!$B$55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Sheet7!$C$51:$E$51</c15:sqref>
                        </c15:formulaRef>
                      </c:ext>
                    </c:extLst>
                    <c:strCache>
                      <c:ptCount val="3"/>
                      <c:pt idx="0">
                        <c:v>Amicus</c:v>
                      </c:pt>
                      <c:pt idx="1">
                        <c:v>Comtec</c:v>
                      </c:pt>
                      <c:pt idx="2">
                        <c:v>Optia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Sheet7!$C$55:$E$55</c15:sqref>
                        </c15:formulaRef>
                      </c:ext>
                    </c:extLst>
                    <c:numCache>
                      <c:formatCode>0.00%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AD2-4CD9-AA0A-48F11D365E29}"/>
                  </c:ext>
                </c:extLst>
              </c15:ser>
            </c15:filteredBarSeries>
          </c:ext>
        </c:extLst>
      </c:barChart>
      <c:catAx>
        <c:axId val="42144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33760"/>
        <c:crosses val="autoZero"/>
        <c:auto val="1"/>
        <c:lblAlgn val="ctr"/>
        <c:lblOffset val="100"/>
        <c:noMultiLvlLbl val="0"/>
      </c:catAx>
      <c:valAx>
        <c:axId val="2848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Platelet Yield Distribution by Separator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Sheet7!$A$65</c:f>
              <c:strCache>
                <c:ptCount val="1"/>
                <c:pt idx="0">
                  <c:v>&lt;3*10^11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Sheet7!$B$64:$D$64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Sheet7!$B$65:$D$65</c:f>
              <c:numCache>
                <c:formatCode>General</c:formatCode>
                <c:ptCount val="3"/>
                <c:pt idx="0">
                  <c:v>11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C-40FA-838A-FC858C509589}"/>
            </c:ext>
          </c:extLst>
        </c:ser>
        <c:ser>
          <c:idx val="1"/>
          <c:order val="1"/>
          <c:tx>
            <c:strRef>
              <c:f>Sheet7!$A$66</c:f>
              <c:strCache>
                <c:ptCount val="1"/>
                <c:pt idx="0">
                  <c:v>3-3.5*10^11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Sheet7!$B$64:$D$64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Sheet7!$B$66:$D$66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7C-40FA-838A-FC858C509589}"/>
            </c:ext>
          </c:extLst>
        </c:ser>
        <c:ser>
          <c:idx val="2"/>
          <c:order val="2"/>
          <c:tx>
            <c:strRef>
              <c:f>Sheet7!$A$67</c:f>
              <c:strCache>
                <c:ptCount val="1"/>
                <c:pt idx="0">
                  <c:v>&gt;3*10^11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Sheet7!$B$64:$D$64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Sheet7!$B$67:$D$67</c:f>
              <c:numCache>
                <c:formatCode>General</c:formatCode>
                <c:ptCount val="3"/>
                <c:pt idx="0">
                  <c:v>13</c:v>
                </c:pt>
                <c:pt idx="1">
                  <c:v>27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7C-40FA-838A-FC858C509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466400"/>
        <c:axId val="419522896"/>
      </c:barChart>
      <c:catAx>
        <c:axId val="4214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22896"/>
        <c:crosses val="autoZero"/>
        <c:auto val="1"/>
        <c:lblAlgn val="ctr"/>
        <c:lblOffset val="100"/>
        <c:noMultiLvlLbl val="0"/>
      </c:catAx>
      <c:valAx>
        <c:axId val="4195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values of operational and product variables among cell operators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Sheet7!$A$85</c:f>
              <c:strCache>
                <c:ptCount val="1"/>
                <c:pt idx="0">
                  <c:v>Blood Volume Processed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Sheet7!$B$84:$D$84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Sheet7!$B$85:$D$85</c:f>
              <c:numCache>
                <c:formatCode>General</c:formatCode>
                <c:ptCount val="3"/>
                <c:pt idx="0">
                  <c:v>2535.87</c:v>
                </c:pt>
                <c:pt idx="1">
                  <c:v>2961.7</c:v>
                </c:pt>
                <c:pt idx="2">
                  <c:v>2708.17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F-4C27-B158-7D4A58C0FB28}"/>
            </c:ext>
          </c:extLst>
        </c:ser>
        <c:ser>
          <c:idx val="1"/>
          <c:order val="1"/>
          <c:tx>
            <c:strRef>
              <c:f>Sheet7!$A$86</c:f>
              <c:strCache>
                <c:ptCount val="1"/>
                <c:pt idx="0">
                  <c:v>Product Volume Obtained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Sheet7!$B$84:$D$84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Sheet7!$B$86:$D$86</c:f>
              <c:numCache>
                <c:formatCode>General</c:formatCode>
                <c:ptCount val="3"/>
                <c:pt idx="0">
                  <c:v>238.83</c:v>
                </c:pt>
                <c:pt idx="1">
                  <c:v>335.67</c:v>
                </c:pt>
                <c:pt idx="2">
                  <c:v>266.5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F-4C27-B158-7D4A58C0FB28}"/>
            </c:ext>
          </c:extLst>
        </c:ser>
        <c:ser>
          <c:idx val="2"/>
          <c:order val="2"/>
          <c:tx>
            <c:strRef>
              <c:f>Sheet7!$A$87</c:f>
              <c:strCache>
                <c:ptCount val="1"/>
                <c:pt idx="0">
                  <c:v>Separation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Sheet7!$B$84:$D$84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Sheet7!$B$87:$D$87</c:f>
              <c:numCache>
                <c:formatCode>General</c:formatCode>
                <c:ptCount val="3"/>
                <c:pt idx="0">
                  <c:v>49.57</c:v>
                </c:pt>
                <c:pt idx="1">
                  <c:v>73.069999999999993</c:v>
                </c:pt>
                <c:pt idx="2">
                  <c:v>58.57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DF-4C27-B158-7D4A58C0FB28}"/>
            </c:ext>
          </c:extLst>
        </c:ser>
        <c:ser>
          <c:idx val="3"/>
          <c:order val="3"/>
          <c:tx>
            <c:strRef>
              <c:f>Sheet7!$A$88</c:f>
              <c:strCache>
                <c:ptCount val="1"/>
                <c:pt idx="0">
                  <c:v>Platelet Count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Sheet7!$B$84:$D$84</c:f>
              <c:strCache>
                <c:ptCount val="3"/>
                <c:pt idx="0">
                  <c:v>Amicus</c:v>
                </c:pt>
                <c:pt idx="1">
                  <c:v>Comtec</c:v>
                </c:pt>
                <c:pt idx="2">
                  <c:v>Optia</c:v>
                </c:pt>
              </c:strCache>
            </c:strRef>
          </c:cat>
          <c:val>
            <c:numRef>
              <c:f>Sheet7!$B$88:$D$88</c:f>
              <c:numCache>
                <c:formatCode>General</c:formatCode>
                <c:ptCount val="3"/>
                <c:pt idx="0">
                  <c:v>1405.33</c:v>
                </c:pt>
                <c:pt idx="1">
                  <c:v>1133.6300000000001</c:v>
                </c:pt>
                <c:pt idx="2">
                  <c:v>1542.03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DF-4C27-B158-7D4A58C0F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176080"/>
        <c:axId val="546910288"/>
      </c:barChart>
      <c:catAx>
        <c:axId val="6151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10288"/>
        <c:crosses val="autoZero"/>
        <c:auto val="1"/>
        <c:lblAlgn val="ctr"/>
        <c:lblOffset val="100"/>
        <c:noMultiLvlLbl val="0"/>
      </c:catAx>
      <c:valAx>
        <c:axId val="5469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1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[overall_master.xlsx]Sheet14!PivotTable27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Weight Distribution of Donors by Cell Separator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Sheet14!$B$3:$B$4</c:f>
              <c:strCache>
                <c:ptCount val="1"/>
                <c:pt idx="0">
                  <c:v>Amicus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Sheet14!$A$5:$A$33</c:f>
              <c:strCache>
                <c:ptCount val="28"/>
                <c:pt idx="0">
                  <c:v>60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75</c:v>
                </c:pt>
                <c:pt idx="13">
                  <c:v>76</c:v>
                </c:pt>
                <c:pt idx="14">
                  <c:v>77</c:v>
                </c:pt>
                <c:pt idx="15">
                  <c:v>78</c:v>
                </c:pt>
                <c:pt idx="16">
                  <c:v>79</c:v>
                </c:pt>
                <c:pt idx="17">
                  <c:v>80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  <c:pt idx="21">
                  <c:v>85</c:v>
                </c:pt>
                <c:pt idx="22">
                  <c:v>86</c:v>
                </c:pt>
                <c:pt idx="23">
                  <c:v>92</c:v>
                </c:pt>
                <c:pt idx="24">
                  <c:v>96</c:v>
                </c:pt>
                <c:pt idx="25">
                  <c:v>98</c:v>
                </c:pt>
                <c:pt idx="26">
                  <c:v>100</c:v>
                </c:pt>
                <c:pt idx="27">
                  <c:v>101</c:v>
                </c:pt>
              </c:strCache>
            </c:strRef>
          </c:cat>
          <c:val>
            <c:numRef>
              <c:f>Sheet14!$B$5:$B$33</c:f>
              <c:numCache>
                <c:formatCode>General</c:formatCode>
                <c:ptCount val="28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9">
                  <c:v>1</c:v>
                </c:pt>
                <c:pt idx="20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1-499A-93FB-CF76785027E9}"/>
            </c:ext>
          </c:extLst>
        </c:ser>
        <c:ser>
          <c:idx val="1"/>
          <c:order val="1"/>
          <c:tx>
            <c:strRef>
              <c:f>Sheet14!$C$3:$C$4</c:f>
              <c:strCache>
                <c:ptCount val="1"/>
                <c:pt idx="0">
                  <c:v>Comtec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Sheet14!$A$5:$A$33</c:f>
              <c:strCache>
                <c:ptCount val="28"/>
                <c:pt idx="0">
                  <c:v>60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75</c:v>
                </c:pt>
                <c:pt idx="13">
                  <c:v>76</c:v>
                </c:pt>
                <c:pt idx="14">
                  <c:v>77</c:v>
                </c:pt>
                <c:pt idx="15">
                  <c:v>78</c:v>
                </c:pt>
                <c:pt idx="16">
                  <c:v>79</c:v>
                </c:pt>
                <c:pt idx="17">
                  <c:v>80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  <c:pt idx="21">
                  <c:v>85</c:v>
                </c:pt>
                <c:pt idx="22">
                  <c:v>86</c:v>
                </c:pt>
                <c:pt idx="23">
                  <c:v>92</c:v>
                </c:pt>
                <c:pt idx="24">
                  <c:v>96</c:v>
                </c:pt>
                <c:pt idx="25">
                  <c:v>98</c:v>
                </c:pt>
                <c:pt idx="26">
                  <c:v>100</c:v>
                </c:pt>
                <c:pt idx="27">
                  <c:v>101</c:v>
                </c:pt>
              </c:strCache>
            </c:strRef>
          </c:cat>
          <c:val>
            <c:numRef>
              <c:f>Sheet14!$C$5:$C$33</c:f>
              <c:numCache>
                <c:formatCode>General</c:formatCode>
                <c:ptCount val="28"/>
                <c:pt idx="0">
                  <c:v>2</c:v>
                </c:pt>
                <c:pt idx="2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1-499A-93FB-CF76785027E9}"/>
            </c:ext>
          </c:extLst>
        </c:ser>
        <c:ser>
          <c:idx val="2"/>
          <c:order val="2"/>
          <c:tx>
            <c:strRef>
              <c:f>Sheet14!$D$3:$D$4</c:f>
              <c:strCache>
                <c:ptCount val="1"/>
                <c:pt idx="0">
                  <c:v>Optia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Sheet14!$A$5:$A$33</c:f>
              <c:strCache>
                <c:ptCount val="28"/>
                <c:pt idx="0">
                  <c:v>60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73</c:v>
                </c:pt>
                <c:pt idx="11">
                  <c:v>74</c:v>
                </c:pt>
                <c:pt idx="12">
                  <c:v>75</c:v>
                </c:pt>
                <c:pt idx="13">
                  <c:v>76</c:v>
                </c:pt>
                <c:pt idx="14">
                  <c:v>77</c:v>
                </c:pt>
                <c:pt idx="15">
                  <c:v>78</c:v>
                </c:pt>
                <c:pt idx="16">
                  <c:v>79</c:v>
                </c:pt>
                <c:pt idx="17">
                  <c:v>80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  <c:pt idx="21">
                  <c:v>85</c:v>
                </c:pt>
                <c:pt idx="22">
                  <c:v>86</c:v>
                </c:pt>
                <c:pt idx="23">
                  <c:v>92</c:v>
                </c:pt>
                <c:pt idx="24">
                  <c:v>96</c:v>
                </c:pt>
                <c:pt idx="25">
                  <c:v>98</c:v>
                </c:pt>
                <c:pt idx="26">
                  <c:v>100</c:v>
                </c:pt>
                <c:pt idx="27">
                  <c:v>101</c:v>
                </c:pt>
              </c:strCache>
            </c:strRef>
          </c:cat>
          <c:val>
            <c:numRef>
              <c:f>Sheet14!$D$5:$D$33</c:f>
              <c:numCache>
                <c:formatCode>General</c:formatCode>
                <c:ptCount val="28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2</c:v>
                </c:pt>
                <c:pt idx="7">
                  <c:v>2</c:v>
                </c:pt>
                <c:pt idx="9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F1-499A-93FB-CF767850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1444000"/>
        <c:axId val="419304768"/>
        <c:axId val="0"/>
      </c:bar3DChart>
      <c:catAx>
        <c:axId val="42144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04768"/>
        <c:crosses val="autoZero"/>
        <c:auto val="1"/>
        <c:lblAlgn val="ctr"/>
        <c:lblOffset val="100"/>
        <c:noMultiLvlLbl val="0"/>
      </c:catAx>
      <c:valAx>
        <c:axId val="4193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donors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[overall_master.xlsx]Sheet12!PivotTable24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Height Distribution of Donors by Cell Separator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Sheet12!$B$3:$B$4</c:f>
              <c:strCache>
                <c:ptCount val="1"/>
                <c:pt idx="0">
                  <c:v>Amicus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Sheet12!$A$5:$A$24</c:f>
              <c:strCache>
                <c:ptCount val="19"/>
                <c:pt idx="0">
                  <c:v>160</c:v>
                </c:pt>
                <c:pt idx="1">
                  <c:v>165</c:v>
                </c:pt>
                <c:pt idx="2">
                  <c:v>166</c:v>
                </c:pt>
                <c:pt idx="3">
                  <c:v>167</c:v>
                </c:pt>
                <c:pt idx="4">
                  <c:v>168</c:v>
                </c:pt>
                <c:pt idx="5">
                  <c:v>169</c:v>
                </c:pt>
                <c:pt idx="6">
                  <c:v>170</c:v>
                </c:pt>
                <c:pt idx="7">
                  <c:v>171</c:v>
                </c:pt>
                <c:pt idx="8">
                  <c:v>172</c:v>
                </c:pt>
                <c:pt idx="9">
                  <c:v>173</c:v>
                </c:pt>
                <c:pt idx="10">
                  <c:v>174</c:v>
                </c:pt>
                <c:pt idx="11">
                  <c:v>175</c:v>
                </c:pt>
                <c:pt idx="12">
                  <c:v>176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181</c:v>
                </c:pt>
                <c:pt idx="18">
                  <c:v>182</c:v>
                </c:pt>
              </c:strCache>
            </c:strRef>
          </c:cat>
          <c:val>
            <c:numRef>
              <c:f>Sheet12!$B$5:$B$24</c:f>
              <c:numCache>
                <c:formatCode>General</c:formatCode>
                <c:ptCount val="19"/>
                <c:pt idx="0">
                  <c:v>1</c:v>
                </c:pt>
                <c:pt idx="4">
                  <c:v>1</c:v>
                </c:pt>
                <c:pt idx="6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D-4937-8D3C-F3286925D604}"/>
            </c:ext>
          </c:extLst>
        </c:ser>
        <c:ser>
          <c:idx val="1"/>
          <c:order val="1"/>
          <c:tx>
            <c:strRef>
              <c:f>Sheet12!$C$3:$C$4</c:f>
              <c:strCache>
                <c:ptCount val="1"/>
                <c:pt idx="0">
                  <c:v>Comtec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Sheet12!$A$5:$A$24</c:f>
              <c:strCache>
                <c:ptCount val="19"/>
                <c:pt idx="0">
                  <c:v>160</c:v>
                </c:pt>
                <c:pt idx="1">
                  <c:v>165</c:v>
                </c:pt>
                <c:pt idx="2">
                  <c:v>166</c:v>
                </c:pt>
                <c:pt idx="3">
                  <c:v>167</c:v>
                </c:pt>
                <c:pt idx="4">
                  <c:v>168</c:v>
                </c:pt>
                <c:pt idx="5">
                  <c:v>169</c:v>
                </c:pt>
                <c:pt idx="6">
                  <c:v>170</c:v>
                </c:pt>
                <c:pt idx="7">
                  <c:v>171</c:v>
                </c:pt>
                <c:pt idx="8">
                  <c:v>172</c:v>
                </c:pt>
                <c:pt idx="9">
                  <c:v>173</c:v>
                </c:pt>
                <c:pt idx="10">
                  <c:v>174</c:v>
                </c:pt>
                <c:pt idx="11">
                  <c:v>175</c:v>
                </c:pt>
                <c:pt idx="12">
                  <c:v>176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181</c:v>
                </c:pt>
                <c:pt idx="18">
                  <c:v>182</c:v>
                </c:pt>
              </c:strCache>
            </c:strRef>
          </c:cat>
          <c:val>
            <c:numRef>
              <c:f>Sheet12!$C$5:$C$24</c:f>
              <c:numCache>
                <c:formatCode>General</c:formatCode>
                <c:ptCount val="19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D-4937-8D3C-F3286925D604}"/>
            </c:ext>
          </c:extLst>
        </c:ser>
        <c:ser>
          <c:idx val="2"/>
          <c:order val="2"/>
          <c:tx>
            <c:strRef>
              <c:f>Sheet12!$D$3:$D$4</c:f>
              <c:strCache>
                <c:ptCount val="1"/>
                <c:pt idx="0">
                  <c:v>Optia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Sheet12!$A$5:$A$24</c:f>
              <c:strCache>
                <c:ptCount val="19"/>
                <c:pt idx="0">
                  <c:v>160</c:v>
                </c:pt>
                <c:pt idx="1">
                  <c:v>165</c:v>
                </c:pt>
                <c:pt idx="2">
                  <c:v>166</c:v>
                </c:pt>
                <c:pt idx="3">
                  <c:v>167</c:v>
                </c:pt>
                <c:pt idx="4">
                  <c:v>168</c:v>
                </c:pt>
                <c:pt idx="5">
                  <c:v>169</c:v>
                </c:pt>
                <c:pt idx="6">
                  <c:v>170</c:v>
                </c:pt>
                <c:pt idx="7">
                  <c:v>171</c:v>
                </c:pt>
                <c:pt idx="8">
                  <c:v>172</c:v>
                </c:pt>
                <c:pt idx="9">
                  <c:v>173</c:v>
                </c:pt>
                <c:pt idx="10">
                  <c:v>174</c:v>
                </c:pt>
                <c:pt idx="11">
                  <c:v>175</c:v>
                </c:pt>
                <c:pt idx="12">
                  <c:v>176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181</c:v>
                </c:pt>
                <c:pt idx="18">
                  <c:v>182</c:v>
                </c:pt>
              </c:strCache>
            </c:strRef>
          </c:cat>
          <c:val>
            <c:numRef>
              <c:f>Sheet12!$D$5:$D$24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D-4937-8D3C-F3286925D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9901824"/>
        <c:axId val="409353984"/>
        <c:axId val="0"/>
      </c:bar3DChart>
      <c:catAx>
        <c:axId val="4099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53984"/>
        <c:crosses val="autoZero"/>
        <c:auto val="1"/>
        <c:lblAlgn val="ctr"/>
        <c:lblOffset val="100"/>
        <c:noMultiLvlLbl val="0"/>
      </c:catAx>
      <c:valAx>
        <c:axId val="4093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donors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2</xdr:row>
      <xdr:rowOff>175260</xdr:rowOff>
    </xdr:from>
    <xdr:to>
      <xdr:col>12</xdr:col>
      <xdr:colOff>411480</xdr:colOff>
      <xdr:row>17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765D3-5428-4B90-9807-A7183CEF0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198120</xdr:colOff>
      <xdr:row>2</xdr:row>
      <xdr:rowOff>160020</xdr:rowOff>
    </xdr:from>
    <xdr:to>
      <xdr:col>4</xdr:col>
      <xdr:colOff>304800</xdr:colOff>
      <xdr:row>17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F0A2B-A9B4-4C76-B562-0ED19C3C0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182880</xdr:colOff>
      <xdr:row>19</xdr:row>
      <xdr:rowOff>106680</xdr:rowOff>
    </xdr:from>
    <xdr:to>
      <xdr:col>6</xdr:col>
      <xdr:colOff>289560</xdr:colOff>
      <xdr:row>34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816B7-9B3B-4969-97F1-1739DC3A0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495300</xdr:colOff>
      <xdr:row>19</xdr:row>
      <xdr:rowOff>121920</xdr:rowOff>
    </xdr:from>
    <xdr:to>
      <xdr:col>14</xdr:col>
      <xdr:colOff>190500</xdr:colOff>
      <xdr:row>34</xdr:row>
      <xdr:rowOff>121920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9803B3-278D-42A7-B7D8-57BD126C0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5</xdr:row>
      <xdr:rowOff>38100</xdr:rowOff>
    </xdr:from>
    <xdr:to>
      <xdr:col>14</xdr:col>
      <xdr:colOff>518160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9139E-09AF-48F4-8678-AF4260230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281940</xdr:colOff>
      <xdr:row>28</xdr:row>
      <xdr:rowOff>175260</xdr:rowOff>
    </xdr:from>
    <xdr:to>
      <xdr:col>8</xdr:col>
      <xdr:colOff>1104900</xdr:colOff>
      <xdr:row>43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38827-D9DF-4C40-8D8B-D40DB8CF9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266700</xdr:colOff>
      <xdr:row>46</xdr:row>
      <xdr:rowOff>106680</xdr:rowOff>
    </xdr:from>
    <xdr:to>
      <xdr:col>8</xdr:col>
      <xdr:colOff>1089660</xdr:colOff>
      <xdr:row>61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907DE7-BFBC-44C5-98EF-757A11EA2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228600</xdr:colOff>
      <xdr:row>62</xdr:row>
      <xdr:rowOff>144780</xdr:rowOff>
    </xdr:from>
    <xdr:to>
      <xdr:col>8</xdr:col>
      <xdr:colOff>1051560</xdr:colOff>
      <xdr:row>77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B5EED9-873B-49FF-B80A-12F9B2D90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91440</xdr:colOff>
      <xdr:row>80</xdr:row>
      <xdr:rowOff>15240</xdr:rowOff>
    </xdr:from>
    <xdr:to>
      <xdr:col>9</xdr:col>
      <xdr:colOff>746760</xdr:colOff>
      <xdr:row>99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D86D1-8737-4A8A-8F5A-4CD174925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11</xdr:row>
      <xdr:rowOff>152400</xdr:rowOff>
    </xdr:from>
    <xdr:to>
      <xdr:col>14</xdr:col>
      <xdr:colOff>495300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FE4EF-4F1F-47B7-B8BA-FAC95CFA7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5</xdr:row>
      <xdr:rowOff>167640</xdr:rowOff>
    </xdr:from>
    <xdr:to>
      <xdr:col>15</xdr:col>
      <xdr:colOff>190500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68138-2993-42BE-AB07-DD9866A73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79.130568518522" createdVersion="6" refreshedVersion="6" minRefreshableVersion="3" recordCount="90" xr:uid="{6183C81F-1C85-441C-A688-DB01BC85B53A}">
  <cacheSource type="worksheet">
    <worksheetSource ref="J1:AS91" sheet="Sheet4"/>
  </cacheSource>
  <cacheFields count="33">
    <cacheField name="SN" numFmtId="0">
      <sharedItems containsSemiMixedTypes="0" containsString="0" containsNumber="1" containsInteger="1" minValue="1" maxValue="90"/>
    </cacheField>
    <cacheField name="System" numFmtId="0">
      <sharedItems count="3">
        <s v="Amicus"/>
        <s v="Comtec"/>
        <s v="Optia"/>
      </sharedItems>
    </cacheField>
    <cacheField name="Age (years)" numFmtId="0">
      <sharedItems containsSemiMixedTypes="0" containsString="0" containsNumber="1" containsInteger="1" minValue="19" maxValue="43" count="23">
        <n v="30"/>
        <n v="39"/>
        <n v="22"/>
        <n v="24"/>
        <n v="32"/>
        <n v="35"/>
        <n v="27"/>
        <n v="25"/>
        <n v="43"/>
        <n v="28"/>
        <n v="40"/>
        <n v="34"/>
        <n v="20"/>
        <n v="36"/>
        <n v="38"/>
        <n v="33"/>
        <n v="26"/>
        <n v="19"/>
        <n v="23"/>
        <n v="29"/>
        <n v="31"/>
        <n v="21"/>
        <n v="42"/>
      </sharedItems>
    </cacheField>
    <cacheField name="Age group" numFmtId="0">
      <sharedItems/>
    </cacheField>
    <cacheField name="Weight (kg)" numFmtId="0">
      <sharedItems containsSemiMixedTypes="0" containsString="0" containsNumber="1" containsInteger="1" minValue="60" maxValue="101"/>
    </cacheField>
    <cacheField name="Height (cm)" numFmtId="0">
      <sharedItems containsSemiMixedTypes="0" containsString="0" containsNumber="1" containsInteger="1" minValue="160" maxValue="182"/>
    </cacheField>
    <cacheField name="Pre Hb (g/dL)" numFmtId="0">
      <sharedItems containsSemiMixedTypes="0" containsString="0" containsNumber="1" minValue="12.7" maxValue="16.8"/>
    </cacheField>
    <cacheField name="Post Hb (g/dL)" numFmtId="0">
      <sharedItems containsSemiMixedTypes="0" containsString="0" containsNumber="1" minValue="12" maxValue="16.5"/>
    </cacheField>
    <cacheField name="Hb Difference" numFmtId="0">
      <sharedItems containsSemiMixedTypes="0" containsString="0" containsNumber="1" minValue="-0.5" maxValue="1.0999999999999996"/>
    </cacheField>
    <cacheField name="Percentage Reduction Hb" numFmtId="0">
      <sharedItems containsSemiMixedTypes="0" containsString="0" containsNumber="1" minValue="-3.4965034965034962" maxValue="7.2368421052631557" count="72">
        <n v="4.0816326530612219"/>
        <n v="3.125"/>
        <n v="4.8275862068965472"/>
        <n v="0.64102564102563875"/>
        <n v="3.0534351145038197"/>
        <n v="6.2015503875969049"/>
        <n v="2.7972027972027997"/>
        <n v="3.5971223021582732"/>
        <n v="0.7246376811594305"/>
        <n v="3.8961038961038938"/>
        <n v="4.2857142857142829"/>
        <n v="2.5641025641025665"/>
        <n v="4.2944785276073683"/>
        <n v="4.3795620437956178"/>
        <n v="2.0979020979021028"/>
        <n v="3.7499999999999978"/>
        <n v="1.3986013986014061"/>
        <n v="5.9602649006622546"/>
        <n v="4.9645390070921938"/>
        <n v="4.4117647058823506"/>
        <n v="6.5217391304347849"/>
        <n v="6.3829787234042579"/>
        <n v="3.1847133757961785"/>
        <n v="3.2894736842105261"/>
        <n v="2.7397260273972628"/>
        <n v="5.8064516129032278"/>
        <n v="3.4482758620689653"/>
        <n v="6.666666666666667"/>
        <n v="4.4585987261146451"/>
        <n v="2.8368794326241162"/>
        <n v="1.8404907975460165"/>
        <n v="3.4246575342465753"/>
        <n v="3.3333333333333335"/>
        <n v="1.9736842105263088"/>
        <n v="0"/>
        <n v="2.1739130434782661"/>
        <n v="3.8461538461538445"/>
        <n v="1.9480519480519525"/>
        <n v="1.7857142857142898"/>
        <n v="3.4722222222222223"/>
        <n v="2.6315789473684119"/>
        <n v="2.0408163265306052"/>
        <n v="2.7586206896551748"/>
        <n v="2.6666666666666687"/>
        <n v="2.0270270270270316"/>
        <n v="3.2051282051282057"/>
        <n v="2.0833333333333379"/>
        <n v="2.1126760563380209"/>
        <n v="3.3557046979865772"/>
        <n v="3.225806451612903"/>
        <n v="5.2980132450331059"/>
        <n v="3.2679738562091507"/>
        <n v="-3.4965034965034962"/>
        <n v="4.1095890410958882"/>
        <n v="5.0314465408805074"/>
        <n v="3.4013605442176873"/>
        <n v="3.1496062992125875"/>
        <n v="6.2500000000000053"/>
        <n v="4.0540540540540633"/>
        <n v="2.7210884353741402"/>
        <n v="3.3112582781456954"/>
        <n v="2.6845637583892641"/>
        <n v="5.3333333333333375"/>
        <n v="-0.6849315068493127"/>
        <n v="4.5751633986928173"/>
        <n v="-0.68027210884354705"/>
        <n v="3.9999999999999973"/>
        <n v="5.4054054054054097"/>
        <n v="2.013422818791951"/>
        <n v="-2.0547945205479503"/>
        <n v="1.3605442176870701"/>
        <n v="7.2368421052631557"/>
      </sharedItems>
    </cacheField>
    <cacheField name="Pre HCT (%)" numFmtId="0">
      <sharedItems containsSemiMixedTypes="0" containsString="0" containsNumber="1" minValue="38.1" maxValue="49.4"/>
    </cacheField>
    <cacheField name="Post HCT (%)" numFmtId="0">
      <sharedItems containsSemiMixedTypes="0" containsString="0" containsNumber="1" minValue="36.4" maxValue="47.9"/>
    </cacheField>
    <cacheField name="HCT Difference" numFmtId="0">
      <sharedItems containsSemiMixedTypes="0" containsString="0" containsNumber="1" minValue="-1.1000000000000014" maxValue="3.6000000000000014"/>
    </cacheField>
    <cacheField name="Percentage Reduction HCT" numFmtId="0">
      <sharedItems containsSemiMixedTypes="0" containsString="0" containsNumber="1" minValue="-2.6190476190476226" maxValue="8.6538461538461569"/>
    </cacheField>
    <cacheField name="Pre PLT (×10³/µL)" numFmtId="0">
      <sharedItems containsSemiMixedTypes="0" containsString="0" containsNumber="1" containsInteger="1" minValue="174" maxValue="469"/>
    </cacheField>
    <cacheField name="Post PLT (×10³/µL)" numFmtId="0">
      <sharedItems containsSemiMixedTypes="0" containsString="0" containsNumber="1" containsInteger="1" minValue="125" maxValue="370"/>
    </cacheField>
    <cacheField name="PLT Difference" numFmtId="0">
      <sharedItems containsSemiMixedTypes="0" containsString="0" containsNumber="1" containsInteger="1" minValue="20" maxValue="131"/>
    </cacheField>
    <cacheField name="Percentage Reduction PLT" numFmtId="0">
      <sharedItems containsSemiMixedTypes="0" containsString="0" containsNumber="1" minValue="8.695652173913043" maxValue="40.182648401826484"/>
    </cacheField>
    <cacheField name="Pre MPV (fL)" numFmtId="0">
      <sharedItems containsSemiMixedTypes="0" containsString="0" containsNumber="1" minValue="7.4" maxValue="12.8"/>
    </cacheField>
    <cacheField name="Post MPV (fL)" numFmtId="0">
      <sharedItems containsSemiMixedTypes="0" containsString="0" containsNumber="1" minValue="7.7" maxValue="12.6"/>
    </cacheField>
    <cacheField name="MPV Difference" numFmtId="0">
      <sharedItems containsSemiMixedTypes="0" containsString="0" containsNumber="1" minValue="-1.1000000000000014" maxValue="2.1000000000000014"/>
    </cacheField>
    <cacheField name="Pre PDW (%)" numFmtId="0">
      <sharedItems containsSemiMixedTypes="0" containsString="0" containsNumber="1" minValue="7.9" maxValue="19.3"/>
    </cacheField>
    <cacheField name="Post PDW (%)" numFmtId="0">
      <sharedItems containsSemiMixedTypes="0" containsString="0" containsNumber="1" minValue="8.1" maxValue="18.5"/>
    </cacheField>
    <cacheField name="PDW difference" numFmtId="0">
      <sharedItems containsSemiMixedTypes="0" containsString="0" containsNumber="1" minValue="-3" maxValue="2.6000000000000014"/>
    </cacheField>
    <cacheField name="Blood Volume Processed (mL)" numFmtId="0">
      <sharedItems containsSemiMixedTypes="0" containsString="0" containsNumber="1" containsInteger="1" minValue="1625" maxValue="3598"/>
    </cacheField>
    <cacheField name="Flow Rate (mL/min)" numFmtId="0">
      <sharedItems containsSemiMixedTypes="0" containsString="0" containsNumber="1" containsInteger="1" minValue="54" maxValue="129"/>
    </cacheField>
    <cacheField name="Separation Time (min)" numFmtId="0">
      <sharedItems containsSemiMixedTypes="0" containsString="0" containsNumber="1" containsInteger="1" minValue="33" maxValue="90"/>
    </cacheField>
    <cacheField name="Product Volume (mL)" numFmtId="0">
      <sharedItems containsSemiMixedTypes="0" containsString="0" containsNumber="1" containsInteger="1" minValue="230" maxValue="350"/>
    </cacheField>
    <cacheField name="Platelet Count in Bag (×10³/µL)" numFmtId="0">
      <sharedItems containsSemiMixedTypes="0" containsString="0" containsNumber="1" containsInteger="1" minValue="739" maxValue="2200"/>
    </cacheField>
    <cacheField name="mean plt yield *1011" numFmtId="0">
      <sharedItems containsSemiMixedTypes="0" containsString="0" containsNumber="1" minValue="1.92" maxValue="5.19"/>
    </cacheField>
    <cacheField name="Code mean plt count" numFmtId="0">
      <sharedItems containsSemiMixedTypes="0" containsString="0" containsNumber="1" containsInteger="1" minValue="1" maxValue="3" count="3">
        <n v="1"/>
        <n v="3"/>
        <n v="2"/>
      </sharedItems>
    </cacheField>
    <cacheField name="collection efficiency  %" numFmtId="0">
      <sharedItems containsSemiMixedTypes="0" containsString="0" containsNumber="1" minValue="32.43" maxValue="100"/>
    </cacheField>
    <cacheField name="collection rate plt 10*11/min" numFmtId="0">
      <sharedItems containsSemiMixedTypes="0" containsString="0" containsNumber="1" minValue="2.9000000000000001E-2" maxValue="0.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79.158031944447" createdVersion="6" refreshedVersion="6" minRefreshableVersion="3" recordCount="90" xr:uid="{94EB1C33-1CB5-4545-9041-6EF748D1175E}">
  <cacheSource type="worksheet">
    <worksheetSource ref="A1:AG91" sheet="All"/>
  </cacheSource>
  <cacheFields count="33">
    <cacheField name="SN" numFmtId="0">
      <sharedItems containsSemiMixedTypes="0" containsString="0" containsNumber="1" containsInteger="1" minValue="1" maxValue="90"/>
    </cacheField>
    <cacheField name="System" numFmtId="0">
      <sharedItems count="3">
        <s v="Amicus"/>
        <s v="Comtec"/>
        <s v="Optia"/>
      </sharedItems>
    </cacheField>
    <cacheField name="Age (years)" numFmtId="0">
      <sharedItems containsSemiMixedTypes="0" containsString="0" containsNumber="1" containsInteger="1" minValue="19" maxValue="43"/>
    </cacheField>
    <cacheField name="Age group" numFmtId="0">
      <sharedItems/>
    </cacheField>
    <cacheField name="Weight (kg)" numFmtId="0">
      <sharedItems containsSemiMixedTypes="0" containsString="0" containsNumber="1" containsInteger="1" minValue="60" maxValue="101" count="28">
        <n v="98"/>
        <n v="84"/>
        <n v="77"/>
        <n v="100"/>
        <n v="67"/>
        <n v="74"/>
        <n v="65"/>
        <n v="101"/>
        <n v="72"/>
        <n v="79"/>
        <n v="75"/>
        <n v="78"/>
        <n v="73"/>
        <n v="60"/>
        <n v="69"/>
        <n v="76"/>
        <n v="83"/>
        <n v="70"/>
        <n v="71"/>
        <n v="68"/>
        <n v="86"/>
        <n v="85"/>
        <n v="96"/>
        <n v="80"/>
        <n v="82"/>
        <n v="66"/>
        <n v="92"/>
        <n v="62"/>
      </sharedItems>
    </cacheField>
    <cacheField name="Height (cm)" numFmtId="0">
      <sharedItems containsSemiMixedTypes="0" containsString="0" containsNumber="1" containsInteger="1" minValue="160" maxValue="182" count="19">
        <n v="170"/>
        <n v="172"/>
        <n v="168"/>
        <n v="174"/>
        <n v="175"/>
        <n v="180"/>
        <n v="178"/>
        <n v="177"/>
        <n v="160"/>
        <n v="173"/>
        <n v="179"/>
        <n v="176"/>
        <n v="181"/>
        <n v="167"/>
        <n v="166"/>
        <n v="169"/>
        <n v="182"/>
        <n v="165"/>
        <n v="171"/>
      </sharedItems>
    </cacheField>
    <cacheField name="Pre Hb (g/dL)" numFmtId="0">
      <sharedItems containsSemiMixedTypes="0" containsString="0" containsNumber="1" minValue="12.7" maxValue="16.8"/>
    </cacheField>
    <cacheField name="Post Hb (g/dL)" numFmtId="0">
      <sharedItems containsSemiMixedTypes="0" containsString="0" containsNumber="1" minValue="12" maxValue="16.5"/>
    </cacheField>
    <cacheField name="Hb Difference" numFmtId="0">
      <sharedItems containsSemiMixedTypes="0" containsString="0" containsNumber="1" minValue="-0.5" maxValue="1.0999999999999996"/>
    </cacheField>
    <cacheField name="Percentage Reduction Hb" numFmtId="2">
      <sharedItems containsSemiMixedTypes="0" containsString="0" containsNumber="1" minValue="-3.4965034965034962" maxValue="7.2368421052631557"/>
    </cacheField>
    <cacheField name="Pre HCT (%)" numFmtId="0">
      <sharedItems containsSemiMixedTypes="0" containsString="0" containsNumber="1" minValue="38.1" maxValue="49.4"/>
    </cacheField>
    <cacheField name="Post HCT (%)" numFmtId="0">
      <sharedItems containsSemiMixedTypes="0" containsString="0" containsNumber="1" minValue="36.4" maxValue="47.9"/>
    </cacheField>
    <cacheField name="HCT Difference" numFmtId="0">
      <sharedItems containsSemiMixedTypes="0" containsString="0" containsNumber="1" minValue="-1.1000000000000014" maxValue="3.6000000000000014"/>
    </cacheField>
    <cacheField name="Percentage Reduction HCT" numFmtId="2">
      <sharedItems containsSemiMixedTypes="0" containsString="0" containsNumber="1" minValue="-2.6190476190476226" maxValue="8.6538461538461569"/>
    </cacheField>
    <cacheField name="Pre PLT (×10³/µL)" numFmtId="0">
      <sharedItems containsSemiMixedTypes="0" containsString="0" containsNumber="1" containsInteger="1" minValue="174" maxValue="469"/>
    </cacheField>
    <cacheField name="Post PLT (×10³/µL)" numFmtId="0">
      <sharedItems containsSemiMixedTypes="0" containsString="0" containsNumber="1" containsInteger="1" minValue="125" maxValue="370"/>
    </cacheField>
    <cacheField name="PLT Difference" numFmtId="0">
      <sharedItems containsSemiMixedTypes="0" containsString="0" containsNumber="1" containsInteger="1" minValue="20" maxValue="131"/>
    </cacheField>
    <cacheField name="Percentage Reduction PLT" numFmtId="0">
      <sharedItems containsSemiMixedTypes="0" containsString="0" containsNumber="1" minValue="8.695652173913043" maxValue="40.182648401826484"/>
    </cacheField>
    <cacheField name="Pre MPV (fL)" numFmtId="0">
      <sharedItems containsSemiMixedTypes="0" containsString="0" containsNumber="1" minValue="7.4" maxValue="12.8"/>
    </cacheField>
    <cacheField name="Post MPV (fL)" numFmtId="0">
      <sharedItems containsSemiMixedTypes="0" containsString="0" containsNumber="1" minValue="7.7" maxValue="12.6"/>
    </cacheField>
    <cacheField name="MPV Difference" numFmtId="0">
      <sharedItems containsSemiMixedTypes="0" containsString="0" containsNumber="1" minValue="-1.1000000000000014" maxValue="2.1000000000000014"/>
    </cacheField>
    <cacheField name="Pre PDW (%)" numFmtId="0">
      <sharedItems containsSemiMixedTypes="0" containsString="0" containsNumber="1" minValue="7.9" maxValue="19.3"/>
    </cacheField>
    <cacheField name="Post PDW (%)" numFmtId="0">
      <sharedItems containsSemiMixedTypes="0" containsString="0" containsNumber="1" minValue="8.1" maxValue="18.5"/>
    </cacheField>
    <cacheField name="PDW difference" numFmtId="0">
      <sharedItems containsSemiMixedTypes="0" containsString="0" containsNumber="1" minValue="-3" maxValue="2.6000000000000014"/>
    </cacheField>
    <cacheField name="Blood Volume Processed (mL)" numFmtId="0">
      <sharedItems containsSemiMixedTypes="0" containsString="0" containsNumber="1" containsInteger="1" minValue="1625" maxValue="3598"/>
    </cacheField>
    <cacheField name="Flow Rate (mL/min)" numFmtId="0">
      <sharedItems containsSemiMixedTypes="0" containsString="0" containsNumber="1" containsInteger="1" minValue="54" maxValue="129"/>
    </cacheField>
    <cacheField name="Separation Time (min)" numFmtId="0">
      <sharedItems containsSemiMixedTypes="0" containsString="0" containsNumber="1" containsInteger="1" minValue="33" maxValue="90"/>
    </cacheField>
    <cacheField name="Product Volume (mL)" numFmtId="0">
      <sharedItems containsSemiMixedTypes="0" containsString="0" containsNumber="1" containsInteger="1" minValue="230" maxValue="350"/>
    </cacheField>
    <cacheField name="Platelet Count in Bag (×10³/µL)" numFmtId="0">
      <sharedItems containsSemiMixedTypes="0" containsString="0" containsNumber="1" containsInteger="1" minValue="739" maxValue="2200"/>
    </cacheField>
    <cacheField name="mean plt yield *1011" numFmtId="0">
      <sharedItems containsSemiMixedTypes="0" containsString="0" containsNumber="1" minValue="1.92" maxValue="5.19"/>
    </cacheField>
    <cacheField name="Code mean plt count" numFmtId="0">
      <sharedItems containsSemiMixedTypes="0" containsString="0" containsNumber="1" containsInteger="1" minValue="1" maxValue="3"/>
    </cacheField>
    <cacheField name="collection efficiency  %" numFmtId="0">
      <sharedItems containsSemiMixedTypes="0" containsString="0" containsNumber="1" minValue="32.43" maxValue="100"/>
    </cacheField>
    <cacheField name="collection rate plt 10*11/min" numFmtId="0">
      <sharedItems containsSemiMixedTypes="0" containsString="0" containsNumber="1" minValue="2.9000000000000001E-2" maxValue="0.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n v="1"/>
    <x v="0"/>
    <x v="0"/>
    <s v="30-34"/>
    <n v="98"/>
    <n v="170"/>
    <n v="14.7"/>
    <n v="14.1"/>
    <n v="0.59999999999999964"/>
    <x v="0"/>
    <n v="41.7"/>
    <n v="40"/>
    <n v="1.7000000000000028"/>
    <n v="4.0767386091127165"/>
    <n v="214"/>
    <n v="160"/>
    <n v="54"/>
    <n v="25.233644859813083"/>
    <n v="11.2"/>
    <n v="11.3"/>
    <n v="-0.10000000000000142"/>
    <n v="13.3"/>
    <n v="14.8"/>
    <n v="-1.5"/>
    <n v="2466"/>
    <n v="100"/>
    <n v="47"/>
    <n v="241"/>
    <n v="1049"/>
    <n v="2.52"/>
    <x v="0"/>
    <n v="54.7"/>
    <n v="5.2999999999999999E-2"/>
  </r>
  <r>
    <n v="2"/>
    <x v="0"/>
    <x v="1"/>
    <s v="35-39"/>
    <n v="84"/>
    <n v="172"/>
    <n v="16"/>
    <n v="15.5"/>
    <n v="0.5"/>
    <x v="1"/>
    <n v="46"/>
    <n v="44.7"/>
    <n v="1.2999999999999972"/>
    <n v="2.826086956521733"/>
    <n v="263"/>
    <n v="190"/>
    <n v="73"/>
    <n v="27.756653992395435"/>
    <n v="11"/>
    <n v="10.7"/>
    <n v="0.30000000000000071"/>
    <n v="15"/>
    <n v="13.6"/>
    <n v="1.4000000000000004"/>
    <n v="2377"/>
    <n v="100"/>
    <n v="45"/>
    <n v="241"/>
    <n v="805"/>
    <n v="1.94"/>
    <x v="0"/>
    <n v="36.1"/>
    <n v="4.2999999999999997E-2"/>
  </r>
  <r>
    <n v="3"/>
    <x v="0"/>
    <x v="2"/>
    <s v="20-24"/>
    <n v="77"/>
    <n v="168"/>
    <n v="14.5"/>
    <n v="13.8"/>
    <n v="0.69999999999999929"/>
    <x v="2"/>
    <n v="41.8"/>
    <n v="40.200000000000003"/>
    <n v="1.5999999999999943"/>
    <n v="3.8277511961722355"/>
    <n v="197"/>
    <n v="138"/>
    <n v="59"/>
    <n v="29.949238578680205"/>
    <n v="12.8"/>
    <n v="10.7"/>
    <n v="2.1000000000000014"/>
    <n v="19.3"/>
    <n v="16.7"/>
    <n v="2.6000000000000014"/>
    <n v="3090"/>
    <n v="117"/>
    <n v="61"/>
    <n v="237"/>
    <n v="886"/>
    <n v="2.09"/>
    <x v="0"/>
    <n v="40.380000000000003"/>
    <n v="3.4000000000000002E-2"/>
  </r>
  <r>
    <n v="4"/>
    <x v="0"/>
    <x v="3"/>
    <s v="20-24"/>
    <n v="100"/>
    <n v="174"/>
    <n v="15.6"/>
    <n v="15.5"/>
    <n v="9.9999999999999645E-2"/>
    <x v="3"/>
    <n v="45.2"/>
    <n v="45.1"/>
    <n v="0.10000000000000142"/>
    <n v="0.22123893805310046"/>
    <n v="469"/>
    <n v="338"/>
    <n v="131"/>
    <n v="27.931769722814497"/>
    <n v="7.9"/>
    <n v="8.1999999999999993"/>
    <n v="-0.29999999999999893"/>
    <n v="8.8000000000000007"/>
    <n v="9.5"/>
    <n v="-0.69999999999999929"/>
    <n v="1697"/>
    <n v="100"/>
    <n v="33"/>
    <n v="239"/>
    <n v="1200"/>
    <n v="2.86"/>
    <x v="0"/>
    <n v="41.77"/>
    <n v="8.5999999999999993E-2"/>
  </r>
  <r>
    <n v="5"/>
    <x v="0"/>
    <x v="4"/>
    <s v="30-34"/>
    <n v="77"/>
    <n v="175"/>
    <n v="13.1"/>
    <n v="12.7"/>
    <n v="0.40000000000000036"/>
    <x v="4"/>
    <n v="41.4"/>
    <n v="40.1"/>
    <n v="1.2999999999999972"/>
    <n v="3.140096618357481"/>
    <n v="271"/>
    <n v="219"/>
    <n v="52"/>
    <n v="19.188191881918819"/>
    <n v="9.5"/>
    <n v="10.199999999999999"/>
    <n v="-0.69999999999999929"/>
    <n v="10.7"/>
    <n v="12.3"/>
    <n v="-1.6000000000000014"/>
    <n v="2257"/>
    <n v="66"/>
    <n v="41"/>
    <n v="241"/>
    <n v="1000"/>
    <n v="2.41"/>
    <x v="0"/>
    <n v="43.58"/>
    <n v="5.8000000000000003E-2"/>
  </r>
  <r>
    <n v="6"/>
    <x v="0"/>
    <x v="0"/>
    <s v="30-34"/>
    <n v="77"/>
    <n v="174"/>
    <n v="12.9"/>
    <n v="12.1"/>
    <n v="0.80000000000000071"/>
    <x v="5"/>
    <n v="41.6"/>
    <n v="38"/>
    <n v="3.6000000000000014"/>
    <n v="8.6538461538461569"/>
    <n v="234"/>
    <n v="170"/>
    <n v="64"/>
    <n v="27.350427350427353"/>
    <n v="10.8"/>
    <n v="11"/>
    <n v="-0.19999999999999929"/>
    <n v="13.2"/>
    <n v="13.6"/>
    <n v="-0.40000000000000036"/>
    <n v="2661"/>
    <n v="110"/>
    <n v="49"/>
    <n v="240"/>
    <n v="1780"/>
    <n v="4.2699999999999996"/>
    <x v="1"/>
    <n v="79.44"/>
    <n v="8.6999999999999994E-2"/>
  </r>
  <r>
    <n v="7"/>
    <x v="0"/>
    <x v="0"/>
    <s v="30-34"/>
    <n v="67"/>
    <n v="170"/>
    <n v="14.3"/>
    <n v="13.9"/>
    <n v="0.40000000000000036"/>
    <x v="6"/>
    <n v="45"/>
    <n v="43.5"/>
    <n v="1.5"/>
    <n v="3.3333333333333335"/>
    <n v="236"/>
    <n v="183"/>
    <n v="53"/>
    <n v="22.457627118644069"/>
    <n v="11.2"/>
    <n v="11.4"/>
    <n v="-0.20000000000000107"/>
    <n v="13.6"/>
    <n v="14.6"/>
    <n v="-1"/>
    <n v="2660"/>
    <n v="90"/>
    <n v="66"/>
    <n v="241"/>
    <n v="800"/>
    <n v="1.92"/>
    <x v="0"/>
    <n v="34.549999999999997"/>
    <n v="2.9000000000000001E-2"/>
  </r>
  <r>
    <n v="8"/>
    <x v="0"/>
    <x v="3"/>
    <s v="20-24"/>
    <n v="74"/>
    <n v="170"/>
    <n v="13.9"/>
    <n v="13.4"/>
    <n v="0.5"/>
    <x v="7"/>
    <n v="43.4"/>
    <n v="41"/>
    <n v="2.3999999999999986"/>
    <n v="5.5299539170506877"/>
    <n v="216"/>
    <n v="140"/>
    <n v="76"/>
    <n v="35.185185185185183"/>
    <n v="12.1"/>
    <n v="12.6"/>
    <n v="-0.5"/>
    <n v="15.2"/>
    <n v="18.2"/>
    <n v="-3"/>
    <n v="2826"/>
    <n v="117"/>
    <n v="53"/>
    <n v="241"/>
    <n v="1167"/>
    <n v="2.81"/>
    <x v="0"/>
    <n v="55.86"/>
    <n v="5.2999999999999999E-2"/>
  </r>
  <r>
    <n v="9"/>
    <x v="0"/>
    <x v="2"/>
    <s v="20-24"/>
    <n v="65"/>
    <n v="172"/>
    <n v="13.8"/>
    <n v="13.7"/>
    <n v="0.10000000000000142"/>
    <x v="8"/>
    <n v="44.4"/>
    <n v="43.8"/>
    <n v="0.60000000000000142"/>
    <n v="1.3513513513513546"/>
    <n v="247"/>
    <n v="173"/>
    <n v="74"/>
    <n v="29.959514170040485"/>
    <n v="12"/>
    <n v="12.4"/>
    <n v="-0.40000000000000036"/>
    <n v="14.8"/>
    <n v="16.7"/>
    <n v="-1.8999999999999986"/>
    <n v="2651"/>
    <n v="100"/>
    <n v="56"/>
    <n v="242"/>
    <n v="869"/>
    <n v="2.1"/>
    <x v="0"/>
    <n v="37.72"/>
    <n v="3.6999999999999998E-2"/>
  </r>
  <r>
    <n v="10"/>
    <x v="0"/>
    <x v="5"/>
    <s v="35-39"/>
    <n v="101"/>
    <n v="180"/>
    <n v="15.4"/>
    <n v="14.8"/>
    <n v="0.59999999999999964"/>
    <x v="9"/>
    <n v="48.8"/>
    <n v="46.4"/>
    <n v="2.3999999999999986"/>
    <n v="4.9180327868852434"/>
    <n v="376"/>
    <n v="308"/>
    <n v="68"/>
    <n v="18.085106382978726"/>
    <n v="9.9"/>
    <n v="10.3"/>
    <n v="-0.40000000000000036"/>
    <n v="11.4"/>
    <n v="11.2"/>
    <n v="0.20000000000000107"/>
    <n v="1953"/>
    <n v="103"/>
    <n v="42"/>
    <n v="237"/>
    <n v="1865"/>
    <n v="4.42"/>
    <x v="1"/>
    <n v="66.180000000000007"/>
    <n v="0.1"/>
  </r>
  <r>
    <n v="11"/>
    <x v="0"/>
    <x v="3"/>
    <s v="20-24"/>
    <n v="72"/>
    <n v="170"/>
    <n v="14"/>
    <n v="13.4"/>
    <n v="0.59999999999999964"/>
    <x v="10"/>
    <n v="44.8"/>
    <n v="43"/>
    <n v="1.7999999999999972"/>
    <n v="4.017857142857137"/>
    <n v="284"/>
    <n v="233"/>
    <n v="51"/>
    <n v="17.95774647887324"/>
    <n v="9.6999999999999993"/>
    <n v="10.8"/>
    <n v="-1.1000000000000014"/>
    <n v="10.8"/>
    <n v="13.7"/>
    <n v="-2.8999999999999986"/>
    <n v="2273"/>
    <n v="129"/>
    <n v="41"/>
    <n v="238"/>
    <n v="1493"/>
    <n v="3.55"/>
    <x v="1"/>
    <n v="60.42"/>
    <n v="8.5999999999999993E-2"/>
  </r>
  <r>
    <n v="12"/>
    <x v="0"/>
    <x v="4"/>
    <s v="30-34"/>
    <n v="79"/>
    <n v="175"/>
    <n v="15.6"/>
    <n v="15.2"/>
    <n v="0.40000000000000036"/>
    <x v="11"/>
    <n v="48.7"/>
    <n v="47"/>
    <n v="1.7000000000000028"/>
    <n v="3.4907597535934349"/>
    <n v="275"/>
    <n v="232"/>
    <n v="43"/>
    <n v="15.636363636363637"/>
    <n v="9.5"/>
    <n v="9.6999999999999993"/>
    <n v="-0.19999999999999929"/>
    <n v="10.199999999999999"/>
    <n v="10.3"/>
    <n v="-0.10000000000000142"/>
    <n v="2447"/>
    <n v="127"/>
    <n v="46"/>
    <n v="236"/>
    <n v="2113"/>
    <n v="4.9800000000000004"/>
    <x v="1"/>
    <n v="80.28"/>
    <n v="0.1"/>
  </r>
  <r>
    <n v="13"/>
    <x v="0"/>
    <x v="6"/>
    <s v="25-29"/>
    <n v="75"/>
    <n v="174"/>
    <n v="16.3"/>
    <n v="15.6"/>
    <n v="0.70000000000000107"/>
    <x v="12"/>
    <n v="49.4"/>
    <n v="47.1"/>
    <n v="2.2999999999999972"/>
    <n v="4.6558704453441244"/>
    <n v="312"/>
    <n v="226"/>
    <n v="86"/>
    <n v="27.564102564102566"/>
    <n v="9.3000000000000007"/>
    <n v="9.6"/>
    <n v="-0.29999999999999893"/>
    <n v="10.7"/>
    <n v="11.8"/>
    <n v="-1.1000000000000014"/>
    <n v="2216"/>
    <n v="129"/>
    <n v="40"/>
    <n v="239"/>
    <n v="1963"/>
    <n v="4.7300000000000004"/>
    <x v="1"/>
    <n v="79.349999999999994"/>
    <n v="0.11"/>
  </r>
  <r>
    <n v="14"/>
    <x v="0"/>
    <x v="7"/>
    <s v="25-29"/>
    <n v="78"/>
    <n v="178"/>
    <n v="13.7"/>
    <n v="13.1"/>
    <n v="0.59999999999999964"/>
    <x v="13"/>
    <n v="38.1"/>
    <n v="36.4"/>
    <n v="1.7000000000000028"/>
    <n v="4.4619422572178555"/>
    <n v="313"/>
    <n v="232"/>
    <n v="81"/>
    <n v="25.878594249201274"/>
    <n v="10.9"/>
    <n v="11"/>
    <n v="-9.9999999999999645E-2"/>
    <n v="14.6"/>
    <n v="15.4"/>
    <n v="-0.80000000000000071"/>
    <n v="2074"/>
    <n v="119"/>
    <n v="41"/>
    <n v="240"/>
    <n v="778"/>
    <n v="2.1"/>
    <x v="0"/>
    <n v="37.159999999999997"/>
    <n v="5.0999999999999997E-2"/>
  </r>
  <r>
    <n v="15"/>
    <x v="0"/>
    <x v="5"/>
    <s v="35-39"/>
    <n v="75"/>
    <n v="175"/>
    <n v="14.3"/>
    <n v="14"/>
    <n v="0.30000000000000071"/>
    <x v="14"/>
    <n v="43.1"/>
    <n v="42.5"/>
    <n v="0.60000000000000142"/>
    <n v="1.3921113689095159"/>
    <n v="191"/>
    <n v="129"/>
    <n v="62"/>
    <n v="32.460732984293195"/>
    <n v="11"/>
    <n v="11"/>
    <n v="0"/>
    <n v="14.2"/>
    <n v="15.3"/>
    <n v="-1.1000000000000014"/>
    <n v="3243"/>
    <n v="100"/>
    <n v="63"/>
    <n v="238"/>
    <n v="1834"/>
    <n v="4.3600000000000003"/>
    <x v="1"/>
    <n v="84.03"/>
    <n v="6.9000000000000006E-2"/>
  </r>
  <r>
    <n v="16"/>
    <x v="0"/>
    <x v="8"/>
    <s v="40-44"/>
    <n v="84"/>
    <n v="177"/>
    <n v="16"/>
    <n v="15.4"/>
    <n v="0.59999999999999964"/>
    <x v="15"/>
    <n v="45.2"/>
    <n v="43.4"/>
    <n v="1.8000000000000043"/>
    <n v="3.9823008849557611"/>
    <n v="313"/>
    <n v="228"/>
    <n v="85"/>
    <n v="27.15654952076677"/>
    <n v="8.9"/>
    <n v="9.5"/>
    <n v="-0.59999999999999964"/>
    <n v="10.8"/>
    <n v="10.6"/>
    <n v="0.20000000000000107"/>
    <n v="2091"/>
    <n v="97"/>
    <n v="47"/>
    <n v="242"/>
    <n v="944"/>
    <n v="2.2799999999999998"/>
    <x v="0"/>
    <n v="40.31"/>
    <n v="4.8000000000000001E-2"/>
  </r>
  <r>
    <n v="17"/>
    <x v="0"/>
    <x v="7"/>
    <s v="25-29"/>
    <n v="73"/>
    <n v="175"/>
    <n v="14.3"/>
    <n v="14.1"/>
    <n v="0.20000000000000107"/>
    <x v="16"/>
    <n v="41.5"/>
    <n v="40.799999999999997"/>
    <n v="0.70000000000000284"/>
    <n v="1.6867469879518142"/>
    <n v="241"/>
    <n v="155"/>
    <n v="86"/>
    <n v="35.684647302904565"/>
    <n v="11.2"/>
    <n v="10.9"/>
    <n v="0.29999999999999893"/>
    <n v="15.2"/>
    <n v="14.6"/>
    <n v="0.59999999999999964"/>
    <n v="2420"/>
    <n v="96"/>
    <n v="61"/>
    <n v="239"/>
    <n v="1131"/>
    <n v="2.7"/>
    <x v="0"/>
    <n v="56.35"/>
    <n v="4.3999999999999997E-2"/>
  </r>
  <r>
    <n v="18"/>
    <x v="0"/>
    <x v="9"/>
    <s v="25-29"/>
    <n v="60"/>
    <n v="160"/>
    <n v="15.1"/>
    <n v="14.2"/>
    <n v="0.90000000000000036"/>
    <x v="17"/>
    <n v="45.4"/>
    <n v="42"/>
    <n v="3.3999999999999986"/>
    <n v="7.4889867841409661"/>
    <n v="243"/>
    <n v="169"/>
    <n v="74"/>
    <n v="30.452674897119341"/>
    <n v="10"/>
    <n v="10.5"/>
    <n v="-0.5"/>
    <n v="12.4"/>
    <n v="14"/>
    <n v="-1.5999999999999996"/>
    <n v="2681"/>
    <n v="100"/>
    <n v="60"/>
    <n v="242"/>
    <n v="1279"/>
    <n v="3.09"/>
    <x v="2"/>
    <n v="55.94"/>
    <n v="5.0999999999999997E-2"/>
  </r>
  <r>
    <n v="19"/>
    <x v="0"/>
    <x v="10"/>
    <s v="40-44"/>
    <n v="69"/>
    <n v="173"/>
    <n v="14.1"/>
    <n v="13.4"/>
    <n v="0.69999999999999929"/>
    <x v="18"/>
    <n v="39.299999999999997"/>
    <n v="37.299999999999997"/>
    <n v="2"/>
    <n v="5.0890585241730282"/>
    <n v="219"/>
    <n v="131"/>
    <n v="88"/>
    <n v="40.182648401826484"/>
    <n v="11.1"/>
    <n v="11.3"/>
    <n v="-0.20000000000000107"/>
    <n v="14.4"/>
    <n v="15.1"/>
    <n v="-0.69999999999999929"/>
    <n v="2939"/>
    <n v="104"/>
    <n v="39"/>
    <n v="236"/>
    <n v="2200"/>
    <n v="5.19"/>
    <x v="1"/>
    <n v="100"/>
    <n v="0.13"/>
  </r>
  <r>
    <n v="20"/>
    <x v="0"/>
    <x v="11"/>
    <s v="30-34"/>
    <n v="76"/>
    <n v="178"/>
    <n v="13.6"/>
    <n v="13"/>
    <n v="0.59999999999999964"/>
    <x v="19"/>
    <n v="42.6"/>
    <n v="40.700000000000003"/>
    <n v="1.8999999999999986"/>
    <n v="4.4600938967136114"/>
    <n v="259"/>
    <n v="208"/>
    <n v="51"/>
    <n v="19.691119691119692"/>
    <n v="10.3"/>
    <n v="10.7"/>
    <n v="-0.39999999999999858"/>
    <n v="13.2"/>
    <n v="14.4"/>
    <n v="-1.2000000000000011"/>
    <n v="2345"/>
    <n v="127"/>
    <n v="60"/>
    <n v="233"/>
    <n v="1647"/>
    <n v="3.83"/>
    <x v="1"/>
    <n v="82.58"/>
    <n v="6.3E-2"/>
  </r>
  <r>
    <n v="21"/>
    <x v="0"/>
    <x v="12"/>
    <s v="20-24"/>
    <n v="69"/>
    <n v="179"/>
    <n v="13.8"/>
    <n v="12.9"/>
    <n v="0.90000000000000036"/>
    <x v="20"/>
    <n v="49.3"/>
    <n v="47.6"/>
    <n v="1.6999999999999957"/>
    <n v="3.4482758620689573"/>
    <n v="242"/>
    <n v="181"/>
    <n v="61"/>
    <n v="25.206611570247933"/>
    <n v="9.1"/>
    <n v="10.199999999999999"/>
    <n v="-1.0999999999999996"/>
    <n v="12.3"/>
    <n v="13.7"/>
    <n v="-1.3999999999999986"/>
    <n v="2769"/>
    <n v="105"/>
    <n v="63"/>
    <n v="238"/>
    <n v="1534"/>
    <n v="3.65"/>
    <x v="1"/>
    <n v="75.06"/>
    <n v="5.7000000000000002E-2"/>
  </r>
  <r>
    <n v="22"/>
    <x v="0"/>
    <x v="13"/>
    <s v="35-39"/>
    <n v="75"/>
    <n v="177"/>
    <n v="14.1"/>
    <n v="13.2"/>
    <n v="0.90000000000000036"/>
    <x v="21"/>
    <n v="49.3"/>
    <n v="47.9"/>
    <n v="1.3999999999999986"/>
    <n v="2.8397565922920864"/>
    <n v="303"/>
    <n v="240"/>
    <n v="63"/>
    <n v="20.792079207920793"/>
    <n v="11.2"/>
    <n v="12"/>
    <n v="-0.80000000000000071"/>
    <n v="10.9"/>
    <n v="11.9"/>
    <n v="-1"/>
    <n v="2642"/>
    <n v="95"/>
    <n v="37"/>
    <n v="231"/>
    <n v="1826"/>
    <n v="4.21"/>
    <x v="1"/>
    <n v="73.02"/>
    <n v="0.11"/>
  </r>
  <r>
    <n v="23"/>
    <x v="0"/>
    <x v="6"/>
    <s v="25-29"/>
    <n v="76"/>
    <n v="178"/>
    <n v="16.3"/>
    <n v="15.6"/>
    <n v="0.70000000000000107"/>
    <x v="12"/>
    <n v="46.7"/>
    <n v="45.6"/>
    <n v="1.1000000000000014"/>
    <n v="2.3554603854389748"/>
    <n v="277"/>
    <n v="204"/>
    <n v="73"/>
    <n v="26.353790613718413"/>
    <n v="11.4"/>
    <n v="11.7"/>
    <n v="-0.29999999999999893"/>
    <n v="12.6"/>
    <n v="13.3"/>
    <n v="-0.70000000000000107"/>
    <n v="2222"/>
    <n v="93"/>
    <n v="38"/>
    <n v="242"/>
    <n v="1340"/>
    <n v="3.24"/>
    <x v="2"/>
    <n v="78.61"/>
    <n v="8.5000000000000006E-2"/>
  </r>
  <r>
    <n v="24"/>
    <x v="0"/>
    <x v="9"/>
    <s v="25-29"/>
    <n v="83"/>
    <n v="176"/>
    <n v="15.7"/>
    <n v="15.2"/>
    <n v="0.5"/>
    <x v="22"/>
    <n v="49.4"/>
    <n v="47.3"/>
    <n v="2.1000000000000014"/>
    <n v="4.2510121457489909"/>
    <n v="266"/>
    <n v="208"/>
    <n v="58"/>
    <n v="21.804511278195488"/>
    <n v="10"/>
    <n v="10.9"/>
    <n v="-0.90000000000000036"/>
    <n v="10.3"/>
    <n v="11.2"/>
    <n v="-0.89999999999999858"/>
    <n v="3125"/>
    <n v="125"/>
    <n v="55"/>
    <n v="236"/>
    <n v="1403"/>
    <n v="3.31"/>
    <x v="2"/>
    <n v="64.52"/>
    <n v="0.06"/>
  </r>
  <r>
    <n v="25"/>
    <x v="0"/>
    <x v="14"/>
    <s v="35-39"/>
    <n v="70"/>
    <n v="179"/>
    <n v="15.2"/>
    <n v="14.7"/>
    <n v="0.5"/>
    <x v="23"/>
    <n v="43"/>
    <n v="41.1"/>
    <n v="1.8999999999999986"/>
    <n v="4.418604651162787"/>
    <n v="330"/>
    <n v="271"/>
    <n v="59"/>
    <n v="17.878787878787879"/>
    <n v="9.1"/>
    <n v="9.8000000000000007"/>
    <n v="-0.70000000000000107"/>
    <n v="10.199999999999999"/>
    <n v="11.1"/>
    <n v="-0.90000000000000036"/>
    <n v="2805"/>
    <n v="118"/>
    <n v="49"/>
    <n v="230"/>
    <n v="1310"/>
    <n v="3.01"/>
    <x v="2"/>
    <n v="61.86"/>
    <n v="6.0999999999999999E-2"/>
  </r>
  <r>
    <n v="26"/>
    <x v="0"/>
    <x v="13"/>
    <s v="35-39"/>
    <n v="70"/>
    <n v="177"/>
    <n v="14.6"/>
    <n v="14.2"/>
    <n v="0.40000000000000036"/>
    <x v="24"/>
    <n v="44.3"/>
    <n v="42.5"/>
    <n v="1.7999999999999972"/>
    <n v="4.0632054176072172"/>
    <n v="228"/>
    <n v="148"/>
    <n v="80"/>
    <n v="35.087719298245609"/>
    <n v="9.4"/>
    <n v="10.5"/>
    <n v="-1.0999999999999996"/>
    <n v="13.9"/>
    <n v="15.2"/>
    <n v="-1.2999999999999989"/>
    <n v="2707"/>
    <n v="97"/>
    <n v="60"/>
    <n v="238"/>
    <n v="1417"/>
    <n v="3.37"/>
    <x v="2"/>
    <n v="71.75"/>
    <n v="5.6000000000000001E-2"/>
  </r>
  <r>
    <n v="27"/>
    <x v="0"/>
    <x v="4"/>
    <s v="30-34"/>
    <n v="78"/>
    <n v="175"/>
    <n v="15.5"/>
    <n v="14.6"/>
    <n v="0.90000000000000036"/>
    <x v="25"/>
    <n v="44.7"/>
    <n v="42.9"/>
    <n v="1.8000000000000043"/>
    <n v="4.0268456375839019"/>
    <n v="254"/>
    <n v="197"/>
    <n v="57"/>
    <n v="22.440944881889763"/>
    <n v="11.5"/>
    <n v="11.8"/>
    <n v="-0.30000000000000071"/>
    <n v="10.7"/>
    <n v="11.8"/>
    <n v="-1.1000000000000014"/>
    <n v="2823"/>
    <n v="125"/>
    <n v="58"/>
    <n v="244"/>
    <n v="1587"/>
    <n v="3.87"/>
    <x v="1"/>
    <n v="75.930000000000007"/>
    <n v="6.6000000000000003E-2"/>
  </r>
  <r>
    <n v="28"/>
    <x v="0"/>
    <x v="15"/>
    <s v="30-34"/>
    <n v="71"/>
    <n v="170"/>
    <n v="14.5"/>
    <n v="14"/>
    <n v="0.5"/>
    <x v="26"/>
    <n v="41.8"/>
    <n v="40.4"/>
    <n v="1.3999999999999986"/>
    <n v="3.3492822966507143"/>
    <n v="314"/>
    <n v="238"/>
    <n v="76"/>
    <n v="24.203821656050955"/>
    <n v="10.1"/>
    <n v="10.3"/>
    <n v="-0.20000000000000107"/>
    <n v="11.2"/>
    <n v="12.3"/>
    <n v="-1.1000000000000014"/>
    <n v="2001"/>
    <n v="124"/>
    <n v="54"/>
    <n v="238"/>
    <n v="1946"/>
    <n v="4.63"/>
    <x v="1"/>
    <n v="97.99"/>
    <n v="8.5000000000000006E-2"/>
  </r>
  <r>
    <n v="29"/>
    <x v="0"/>
    <x v="6"/>
    <s v="25-29"/>
    <n v="79"/>
    <n v="172"/>
    <n v="15"/>
    <n v="14"/>
    <n v="1"/>
    <x v="27"/>
    <n v="49.1"/>
    <n v="47.6"/>
    <n v="1.5"/>
    <n v="3.0549898167006111"/>
    <n v="214"/>
    <n v="157"/>
    <n v="57"/>
    <n v="26.635514018691588"/>
    <n v="9"/>
    <n v="9.9"/>
    <n v="-0.90000000000000036"/>
    <n v="14.3"/>
    <n v="15.1"/>
    <n v="-0.79999999999999893"/>
    <n v="2852"/>
    <n v="118"/>
    <n v="42"/>
    <n v="242"/>
    <n v="1639"/>
    <n v="3.96"/>
    <x v="1"/>
    <n v="73.84"/>
    <n v="9.4E-2"/>
  </r>
  <r>
    <n v="30"/>
    <x v="0"/>
    <x v="9"/>
    <s v="25-29"/>
    <n v="77"/>
    <n v="170"/>
    <n v="15.7"/>
    <n v="15"/>
    <n v="0.69999999999999929"/>
    <x v="28"/>
    <n v="45.8"/>
    <n v="43.9"/>
    <n v="1.8999999999999986"/>
    <n v="4.1484716157205215"/>
    <n v="211"/>
    <n v="130"/>
    <n v="81"/>
    <n v="38.388625592417064"/>
    <n v="11"/>
    <n v="11.1"/>
    <n v="-9.9999999999999645E-2"/>
    <n v="12.5"/>
    <n v="13.7"/>
    <n v="-1.1999999999999993"/>
    <n v="2763"/>
    <n v="121"/>
    <n v="40"/>
    <n v="243"/>
    <n v="1355"/>
    <n v="3.29"/>
    <x v="2"/>
    <n v="72.45"/>
    <n v="8.2000000000000003E-2"/>
  </r>
  <r>
    <n v="31"/>
    <x v="1"/>
    <x v="16"/>
    <s v="25-29"/>
    <n v="68"/>
    <n v="170"/>
    <n v="14.3"/>
    <n v="14"/>
    <n v="0.30000000000000071"/>
    <x v="14"/>
    <n v="38.700000000000003"/>
    <n v="37.6"/>
    <n v="1.1000000000000014"/>
    <n v="2.8423772609819156"/>
    <n v="278"/>
    <n v="180"/>
    <n v="98"/>
    <n v="35.251798561151077"/>
    <n v="11.3"/>
    <n v="11.5"/>
    <n v="-0.19999999999999929"/>
    <n v="12.8"/>
    <n v="13.9"/>
    <n v="-1.0999999999999996"/>
    <n v="2918"/>
    <n v="75"/>
    <n v="73"/>
    <n v="349"/>
    <n v="1208"/>
    <n v="4.22"/>
    <x v="1"/>
    <n v="63.15"/>
    <n v="5.7000000000000002E-2"/>
  </r>
  <r>
    <n v="32"/>
    <x v="1"/>
    <x v="17"/>
    <s v="16-19"/>
    <n v="73"/>
    <n v="172"/>
    <n v="14.1"/>
    <n v="13.7"/>
    <n v="0.40000000000000036"/>
    <x v="29"/>
    <n v="42.2"/>
    <n v="40.6"/>
    <n v="1.6000000000000014"/>
    <n v="3.7914691943127994"/>
    <n v="449"/>
    <n v="347"/>
    <n v="102"/>
    <n v="22.717149220489976"/>
    <n v="8.9"/>
    <n v="9"/>
    <n v="-9.9999999999999645E-2"/>
    <n v="10.5"/>
    <n v="10.9"/>
    <n v="-0.40000000000000036"/>
    <n v="1869"/>
    <n v="79"/>
    <n v="47"/>
    <n v="327"/>
    <n v="739"/>
    <n v="2.41"/>
    <x v="0"/>
    <n v="32.43"/>
    <n v="5.0999999999999997E-2"/>
  </r>
  <r>
    <n v="33"/>
    <x v="1"/>
    <x v="18"/>
    <s v="20-24"/>
    <n v="86"/>
    <n v="181"/>
    <n v="16.3"/>
    <n v="16"/>
    <n v="0.30000000000000071"/>
    <x v="30"/>
    <n v="46.6"/>
    <n v="44"/>
    <n v="2.6000000000000014"/>
    <n v="5.5793991416309048"/>
    <n v="244"/>
    <n v="177"/>
    <n v="67"/>
    <n v="27.459016393442624"/>
    <n v="10.3"/>
    <n v="10.5"/>
    <n v="-0.19999999999999929"/>
    <n v="12.6"/>
    <n v="12.9"/>
    <n v="-0.30000000000000071"/>
    <n v="3414"/>
    <n v="75"/>
    <n v="90"/>
    <n v="325"/>
    <n v="1053"/>
    <n v="3.86"/>
    <x v="1"/>
    <n v="53.76"/>
    <n v="4.2000000000000003E-2"/>
  </r>
  <r>
    <n v="34"/>
    <x v="1"/>
    <x v="18"/>
    <s v="20-24"/>
    <n v="68"/>
    <n v="178"/>
    <n v="14.6"/>
    <n v="14.1"/>
    <n v="0.5"/>
    <x v="31"/>
    <n v="42.8"/>
    <n v="41.5"/>
    <n v="1.2999999999999972"/>
    <n v="3.0373831775700868"/>
    <n v="282"/>
    <n v="213"/>
    <n v="69"/>
    <n v="24.468085106382979"/>
    <n v="9.6"/>
    <n v="10.3"/>
    <n v="-0.70000000000000107"/>
    <n v="11.7"/>
    <n v="12.6"/>
    <n v="-0.90000000000000036"/>
    <n v="2779"/>
    <n v="75"/>
    <n v="73"/>
    <n v="326"/>
    <n v="1186"/>
    <n v="3.86"/>
    <x v="1"/>
    <n v="55.9"/>
    <n v="5.1999999999999998E-2"/>
  </r>
  <r>
    <n v="35"/>
    <x v="1"/>
    <x v="10"/>
    <s v="40-44"/>
    <n v="85"/>
    <n v="172"/>
    <n v="16"/>
    <n v="15.5"/>
    <n v="0.5"/>
    <x v="1"/>
    <n v="46.9"/>
    <n v="46.5"/>
    <n v="0.39999999999999858"/>
    <n v="0.8528784648187604"/>
    <n v="293"/>
    <n v="213"/>
    <n v="80"/>
    <n v="27.303754266211605"/>
    <n v="8.6999999999999993"/>
    <n v="9.8000000000000007"/>
    <n v="-1.1000000000000014"/>
    <n v="9.8000000000000007"/>
    <n v="10.5"/>
    <n v="-0.69999999999999929"/>
    <n v="2650"/>
    <n v="75"/>
    <n v="69"/>
    <n v="326"/>
    <n v="1126"/>
    <n v="3.67"/>
    <x v="1"/>
    <n v="57.6"/>
    <n v="5.2999999999999999E-2"/>
  </r>
  <r>
    <n v="36"/>
    <x v="1"/>
    <x v="16"/>
    <s v="25-29"/>
    <n v="75"/>
    <n v="174"/>
    <n v="15"/>
    <n v="14.5"/>
    <n v="0.5"/>
    <x v="32"/>
    <n v="47.4"/>
    <n v="47"/>
    <n v="0.39999999999999858"/>
    <n v="0.84388185654008141"/>
    <n v="279"/>
    <n v="204"/>
    <n v="75"/>
    <n v="26.881720430107524"/>
    <n v="8.6999999999999993"/>
    <n v="9.3000000000000007"/>
    <n v="-0.60000000000000142"/>
    <n v="9.1"/>
    <n v="10"/>
    <n v="-0.90000000000000036"/>
    <n v="2916"/>
    <n v="79"/>
    <n v="73"/>
    <n v="349"/>
    <n v="1188"/>
    <n v="4.1399999999999997"/>
    <x v="1"/>
    <n v="58.9"/>
    <n v="5.6000000000000001E-2"/>
  </r>
  <r>
    <n v="37"/>
    <x v="1"/>
    <x v="3"/>
    <s v="20-24"/>
    <n v="72"/>
    <n v="167"/>
    <n v="14.3"/>
    <n v="14"/>
    <n v="0.30000000000000071"/>
    <x v="14"/>
    <n v="43.9"/>
    <n v="43.6"/>
    <n v="0.29999999999999716"/>
    <n v="0.68337129840546051"/>
    <n v="298"/>
    <n v="212"/>
    <n v="86"/>
    <n v="28.859060402684566"/>
    <n v="11.3"/>
    <n v="11.7"/>
    <n v="-0.39999999999999858"/>
    <n v="13.6"/>
    <n v="13.8"/>
    <n v="-0.20000000000000107"/>
    <n v="2772"/>
    <n v="75"/>
    <n v="69"/>
    <n v="349"/>
    <n v="1170"/>
    <n v="4.08"/>
    <x v="1"/>
    <n v="57.8"/>
    <n v="5.8999999999999997E-2"/>
  </r>
  <r>
    <n v="38"/>
    <x v="1"/>
    <x v="16"/>
    <s v="25-29"/>
    <n v="65"/>
    <n v="166"/>
    <n v="15.2"/>
    <n v="14.9"/>
    <n v="0.29999999999999893"/>
    <x v="33"/>
    <n v="48.6"/>
    <n v="46.8"/>
    <n v="1.8000000000000043"/>
    <n v="3.7037037037037126"/>
    <n v="298"/>
    <n v="217"/>
    <n v="81"/>
    <n v="27.181208053691275"/>
    <n v="11.1"/>
    <n v="11.8"/>
    <n v="-0.70000000000000107"/>
    <n v="13.5"/>
    <n v="15.1"/>
    <n v="-1.5999999999999996"/>
    <n v="2799"/>
    <n v="74"/>
    <n v="70"/>
    <n v="349"/>
    <n v="1221"/>
    <n v="4.26"/>
    <x v="1"/>
    <n v="59.1"/>
    <n v="0.06"/>
  </r>
  <r>
    <n v="39"/>
    <x v="1"/>
    <x v="4"/>
    <s v="30-34"/>
    <n v="69"/>
    <n v="173"/>
    <n v="13.8"/>
    <n v="13.8"/>
    <n v="0"/>
    <x v="34"/>
    <n v="43.7"/>
    <n v="43"/>
    <n v="0.70000000000000284"/>
    <n v="1.601830663615567"/>
    <n v="315"/>
    <n v="231"/>
    <n v="84"/>
    <n v="26.666666666666668"/>
    <n v="9.1"/>
    <n v="9.5"/>
    <n v="-0.40000000000000036"/>
    <n v="11.1"/>
    <n v="9.6999999999999993"/>
    <n v="1.4000000000000004"/>
    <n v="2625"/>
    <n v="75"/>
    <n v="65"/>
    <n v="350"/>
    <n v="1221"/>
    <n v="4.2699999999999996"/>
    <x v="1"/>
    <n v="60"/>
    <n v="6.5000000000000002E-2"/>
  </r>
  <r>
    <n v="40"/>
    <x v="1"/>
    <x v="4"/>
    <s v="30-34"/>
    <n v="83"/>
    <n v="175"/>
    <n v="13.8"/>
    <n v="13.5"/>
    <n v="0.30000000000000071"/>
    <x v="35"/>
    <n v="44.7"/>
    <n v="42"/>
    <n v="2.7000000000000028"/>
    <n v="6.0402684563758449"/>
    <n v="233"/>
    <n v="187"/>
    <n v="46"/>
    <n v="19.742489270386265"/>
    <n v="11.6"/>
    <n v="11.9"/>
    <n v="-0.30000000000000071"/>
    <n v="14.4"/>
    <n v="15.2"/>
    <n v="-0.79999999999999893"/>
    <n v="3532"/>
    <n v="75"/>
    <n v="89"/>
    <n v="348"/>
    <n v="1209"/>
    <n v="4.2"/>
    <x v="1"/>
    <n v="57"/>
    <n v="4.7E-2"/>
  </r>
  <r>
    <n v="41"/>
    <x v="1"/>
    <x v="7"/>
    <s v="25-29"/>
    <n v="60"/>
    <n v="177"/>
    <n v="15.6"/>
    <n v="15"/>
    <n v="0.59999999999999964"/>
    <x v="36"/>
    <n v="45.5"/>
    <n v="45.2"/>
    <n v="0.29999999999999716"/>
    <n v="0.65934065934065311"/>
    <n v="245"/>
    <n v="164"/>
    <n v="81"/>
    <n v="33.061224489795919"/>
    <n v="10.1"/>
    <n v="10.5"/>
    <n v="-0.40000000000000036"/>
    <n v="12.1"/>
    <n v="13.3"/>
    <n v="-1.2000000000000011"/>
    <n v="3094"/>
    <n v="75"/>
    <n v="82"/>
    <n v="325"/>
    <n v="1089"/>
    <n v="3.53"/>
    <x v="1"/>
    <n v="56"/>
    <n v="4.2999999999999997E-2"/>
  </r>
  <r>
    <n v="42"/>
    <x v="1"/>
    <x v="0"/>
    <s v="30-34"/>
    <n v="73"/>
    <n v="175"/>
    <n v="15.4"/>
    <n v="15.1"/>
    <n v="0.30000000000000071"/>
    <x v="37"/>
    <n v="43.2"/>
    <n v="42.6"/>
    <n v="0.60000000000000142"/>
    <n v="1.3888888888888922"/>
    <n v="253"/>
    <n v="188"/>
    <n v="65"/>
    <n v="25.691699604743086"/>
    <n v="10.7"/>
    <n v="11.2"/>
    <n v="-0.5"/>
    <n v="15.3"/>
    <n v="15.5"/>
    <n v="-0.19999999999999929"/>
    <n v="3096"/>
    <n v="75"/>
    <n v="82"/>
    <n v="349"/>
    <n v="973"/>
    <n v="3.39"/>
    <x v="2"/>
    <n v="50"/>
    <n v="4.1000000000000002E-2"/>
  </r>
  <r>
    <n v="43"/>
    <x v="1"/>
    <x v="17"/>
    <s v="16-19"/>
    <n v="96"/>
    <n v="180"/>
    <n v="16.8"/>
    <n v="16.5"/>
    <n v="0.30000000000000071"/>
    <x v="38"/>
    <n v="47.8"/>
    <n v="46.8"/>
    <n v="1"/>
    <n v="2.0920502092050213"/>
    <n v="453"/>
    <n v="370"/>
    <n v="83"/>
    <n v="18.322295805739515"/>
    <n v="8.8000000000000007"/>
    <n v="9.1"/>
    <n v="-0.29999999999999893"/>
    <n v="10.6"/>
    <n v="10.6"/>
    <n v="0"/>
    <n v="2037"/>
    <n v="75"/>
    <n v="52"/>
    <n v="327"/>
    <n v="1312"/>
    <n v="4.29"/>
    <x v="1"/>
    <n v="51"/>
    <n v="8.2000000000000003E-2"/>
  </r>
  <r>
    <n v="44"/>
    <x v="1"/>
    <x v="2"/>
    <s v="20-24"/>
    <n v="60"/>
    <n v="172"/>
    <n v="14.4"/>
    <n v="13.9"/>
    <n v="0.5"/>
    <x v="39"/>
    <n v="42.6"/>
    <n v="40.9"/>
    <n v="1.7000000000000028"/>
    <n v="3.9906103286385037"/>
    <n v="268"/>
    <n v="174"/>
    <n v="94"/>
    <n v="35.074626865671647"/>
    <n v="10.5"/>
    <n v="11"/>
    <n v="-0.5"/>
    <n v="13.9"/>
    <n v="14.2"/>
    <n v="-0.29999999999999893"/>
    <n v="3075"/>
    <n v="75"/>
    <n v="82"/>
    <n v="325"/>
    <n v="1207"/>
    <n v="3.92"/>
    <x v="1"/>
    <n v="58"/>
    <n v="4.7E-2"/>
  </r>
  <r>
    <n v="45"/>
    <x v="1"/>
    <x v="19"/>
    <s v="25-29"/>
    <n v="75"/>
    <n v="176"/>
    <n v="15.2"/>
    <n v="14.8"/>
    <n v="0.39999999999999858"/>
    <x v="40"/>
    <n v="43.5"/>
    <n v="42"/>
    <n v="1.5"/>
    <n v="3.4482758620689653"/>
    <n v="310"/>
    <n v="215"/>
    <n v="95"/>
    <n v="30.64516129032258"/>
    <n v="10.1"/>
    <n v="10.4"/>
    <n v="-0.30000000000000071"/>
    <n v="11.9"/>
    <n v="12.8"/>
    <n v="-0.90000000000000036"/>
    <n v="3050"/>
    <n v="76"/>
    <n v="72"/>
    <n v="331"/>
    <n v="1095"/>
    <n v="3.62"/>
    <x v="1"/>
    <n v="45"/>
    <n v="0.05"/>
  </r>
  <r>
    <n v="46"/>
    <x v="1"/>
    <x v="11"/>
    <s v="30-34"/>
    <n v="80"/>
    <n v="180"/>
    <n v="14.7"/>
    <n v="14.4"/>
    <n v="0.29999999999999893"/>
    <x v="41"/>
    <n v="44.1"/>
    <n v="42.9"/>
    <n v="1.2000000000000028"/>
    <n v="2.7210884353741562"/>
    <n v="275"/>
    <n v="190"/>
    <n v="85"/>
    <n v="30.909090909090907"/>
    <n v="9.8000000000000007"/>
    <n v="10"/>
    <n v="-0.19999999999999929"/>
    <n v="10.7"/>
    <n v="11.2"/>
    <n v="-0.5"/>
    <n v="2820"/>
    <n v="74"/>
    <n v="70"/>
    <n v="320"/>
    <n v="1028"/>
    <n v="3.28"/>
    <x v="2"/>
    <n v="50"/>
    <n v="4.5999999999999999E-2"/>
  </r>
  <r>
    <n v="47"/>
    <x v="1"/>
    <x v="2"/>
    <s v="20-24"/>
    <n v="70"/>
    <n v="168"/>
    <n v="14.5"/>
    <n v="14.1"/>
    <n v="0.40000000000000036"/>
    <x v="42"/>
    <n v="41.8"/>
    <n v="40.4"/>
    <n v="1.3999999999999986"/>
    <n v="3.3492822966507143"/>
    <n v="355"/>
    <n v="265"/>
    <n v="90"/>
    <n v="25.352112676056336"/>
    <n v="10.5"/>
    <n v="10.8"/>
    <n v="-0.30000000000000071"/>
    <n v="12.4"/>
    <n v="12.9"/>
    <n v="-0.5"/>
    <n v="3225"/>
    <n v="77"/>
    <n v="75"/>
    <n v="340"/>
    <n v="1172"/>
    <n v="3.98"/>
    <x v="1"/>
    <n v="40"/>
    <n v="5.2999999999999999E-2"/>
  </r>
  <r>
    <n v="48"/>
    <x v="1"/>
    <x v="20"/>
    <s v="30-34"/>
    <n v="72"/>
    <n v="174"/>
    <n v="15"/>
    <n v="14.6"/>
    <n v="0.40000000000000036"/>
    <x v="43"/>
    <n v="43.2"/>
    <n v="41.7"/>
    <n v="1.5"/>
    <n v="3.4722222222222219"/>
    <n v="296"/>
    <n v="208"/>
    <n v="88"/>
    <n v="29.72972972972973"/>
    <n v="9.6"/>
    <n v="10"/>
    <n v="-0.40000000000000036"/>
    <n v="11.5"/>
    <n v="12.4"/>
    <n v="-0.90000000000000036"/>
    <n v="2895"/>
    <n v="75"/>
    <n v="71"/>
    <n v="336"/>
    <n v="1136"/>
    <n v="3.81"/>
    <x v="1"/>
    <n v="52"/>
    <n v="5.2999999999999999E-2"/>
  </r>
  <r>
    <n v="49"/>
    <x v="1"/>
    <x v="6"/>
    <s v="25-29"/>
    <n v="78"/>
    <n v="179"/>
    <n v="14.8"/>
    <n v="14.5"/>
    <n v="0.30000000000000071"/>
    <x v="44"/>
    <n v="42.6"/>
    <n v="41.8"/>
    <n v="0.80000000000000426"/>
    <n v="1.8779342723004795"/>
    <n v="330"/>
    <n v="225"/>
    <n v="105"/>
    <n v="31.818181818181817"/>
    <n v="10.3"/>
    <n v="10.5"/>
    <n v="-0.19999999999999929"/>
    <n v="12.1"/>
    <n v="12.6"/>
    <n v="-0.5"/>
    <n v="3005"/>
    <n v="78"/>
    <n v="73"/>
    <n v="333"/>
    <n v="1118"/>
    <n v="3.72"/>
    <x v="1"/>
    <n v="45"/>
    <n v="0.05"/>
  </r>
  <r>
    <n v="50"/>
    <x v="1"/>
    <x v="4"/>
    <s v="30-34"/>
    <n v="82"/>
    <n v="178"/>
    <n v="15.6"/>
    <n v="15.1"/>
    <n v="0.5"/>
    <x v="45"/>
    <n v="45.2"/>
    <n v="43.6"/>
    <n v="1.6000000000000014"/>
    <n v="3.5398230088495604"/>
    <n v="288"/>
    <n v="200"/>
    <n v="88"/>
    <n v="30.555555555555557"/>
    <n v="10.199999999999999"/>
    <n v="10.6"/>
    <n v="-0.40000000000000036"/>
    <n v="11.5"/>
    <n v="12.7"/>
    <n v="-1.1999999999999993"/>
    <n v="3120"/>
    <n v="75"/>
    <n v="74"/>
    <n v="335"/>
    <n v="1145"/>
    <n v="3.83"/>
    <x v="1"/>
    <n v="50"/>
    <n v="5.0999999999999997E-2"/>
  </r>
  <r>
    <n v="51"/>
    <x v="1"/>
    <x v="7"/>
    <s v="25-29"/>
    <n v="71"/>
    <n v="169"/>
    <n v="14.4"/>
    <n v="14.1"/>
    <n v="0.30000000000000071"/>
    <x v="46"/>
    <n v="41.9"/>
    <n v="40.5"/>
    <n v="1.3999999999999986"/>
    <n v="3.3412887828162257"/>
    <n v="342"/>
    <n v="240"/>
    <n v="102"/>
    <n v="29.82456140350877"/>
    <n v="9.9"/>
    <n v="10.199999999999999"/>
    <n v="-0.29999999999999893"/>
    <n v="12"/>
    <n v="12.8"/>
    <n v="-0.80000000000000071"/>
    <n v="2980"/>
    <n v="76"/>
    <n v="71"/>
    <n v="328"/>
    <n v="1092"/>
    <n v="3.58"/>
    <x v="1"/>
    <n v="41"/>
    <n v="0.05"/>
  </r>
  <r>
    <n v="52"/>
    <x v="1"/>
    <x v="13"/>
    <s v="35-39"/>
    <n v="76"/>
    <n v="182"/>
    <n v="15"/>
    <n v="14.6"/>
    <n v="0.40000000000000036"/>
    <x v="43"/>
    <n v="43.6"/>
    <n v="42.2"/>
    <n v="1.3999999999999986"/>
    <n v="3.2110091743119233"/>
    <n v="277"/>
    <n v="190"/>
    <n v="87"/>
    <n v="31.40794223826715"/>
    <n v="10.4"/>
    <n v="10.7"/>
    <n v="-0.29999999999999893"/>
    <n v="10.9"/>
    <n v="11.5"/>
    <n v="-0.59999999999999964"/>
    <n v="3255"/>
    <n v="74"/>
    <n v="76"/>
    <n v="338"/>
    <n v="1160"/>
    <n v="3.92"/>
    <x v="1"/>
    <n v="52"/>
    <n v="5.0999999999999997E-2"/>
  </r>
  <r>
    <n v="53"/>
    <x v="1"/>
    <x v="9"/>
    <s v="25-29"/>
    <n v="69"/>
    <n v="170"/>
    <n v="14.2"/>
    <n v="13.9"/>
    <n v="0.29999999999999893"/>
    <x v="47"/>
    <n v="40.799999999999997"/>
    <n v="39.6"/>
    <n v="1.1999999999999957"/>
    <n v="2.9411764705882253"/>
    <n v="305"/>
    <n v="215"/>
    <n v="90"/>
    <n v="29.508196721311474"/>
    <n v="9.6999999999999993"/>
    <n v="10.1"/>
    <n v="-0.40000000000000036"/>
    <n v="11.2"/>
    <n v="12"/>
    <n v="-0.80000000000000071"/>
    <n v="2890"/>
    <n v="78"/>
    <n v="70"/>
    <n v="330"/>
    <n v="1103"/>
    <n v="3.63"/>
    <x v="1"/>
    <n v="48"/>
    <n v="5.0999999999999997E-2"/>
  </r>
  <r>
    <n v="54"/>
    <x v="1"/>
    <x v="3"/>
    <s v="20-24"/>
    <n v="74"/>
    <n v="174"/>
    <n v="14.9"/>
    <n v="14.4"/>
    <n v="0.5"/>
    <x v="48"/>
    <n v="42.7"/>
    <n v="41.5"/>
    <n v="1.2000000000000028"/>
    <n v="2.8103044496487186"/>
    <n v="315"/>
    <n v="218"/>
    <n v="97"/>
    <n v="30.793650793650794"/>
    <n v="9.5"/>
    <n v="9.8000000000000007"/>
    <n v="-0.30000000000000071"/>
    <n v="10.7"/>
    <n v="11.4"/>
    <n v="-0.70000000000000107"/>
    <n v="3000"/>
    <n v="77"/>
    <n v="72"/>
    <n v="332"/>
    <n v="1116"/>
    <n v="3.7"/>
    <x v="1"/>
    <n v="46"/>
    <n v="5.0999999999999997E-2"/>
  </r>
  <r>
    <n v="55"/>
    <x v="1"/>
    <x v="15"/>
    <s v="30-34"/>
    <n v="80"/>
    <n v="180"/>
    <n v="15.5"/>
    <n v="15"/>
    <n v="0.5"/>
    <x v="49"/>
    <n v="44.9"/>
    <n v="43.3"/>
    <n v="1.6000000000000014"/>
    <n v="3.563474387527843"/>
    <n v="298"/>
    <n v="207"/>
    <n v="91"/>
    <n v="30.536912751677853"/>
    <n v="10"/>
    <n v="10.3"/>
    <n v="-0.30000000000000071"/>
    <n v="11.8"/>
    <n v="12.6"/>
    <n v="-0.79999999999999893"/>
    <n v="3180"/>
    <n v="75"/>
    <n v="75"/>
    <n v="337"/>
    <n v="1154"/>
    <n v="3.88"/>
    <x v="1"/>
    <n v="48"/>
    <n v="5.0999999999999997E-2"/>
  </r>
  <r>
    <n v="56"/>
    <x v="1"/>
    <x v="16"/>
    <s v="25-29"/>
    <n v="77"/>
    <n v="174"/>
    <n v="14.7"/>
    <n v="14.4"/>
    <n v="0.29999999999999893"/>
    <x v="41"/>
    <n v="43.2"/>
    <n v="41.8"/>
    <n v="1.4000000000000057"/>
    <n v="3.2407407407407538"/>
    <n v="360"/>
    <n v="265"/>
    <n v="95"/>
    <n v="26.388888888888889"/>
    <n v="10.5"/>
    <n v="10.8"/>
    <n v="-0.30000000000000071"/>
    <n v="12.5"/>
    <n v="13.1"/>
    <n v="-0.59999999999999964"/>
    <n v="3325"/>
    <n v="76"/>
    <n v="78"/>
    <n v="343"/>
    <n v="1203"/>
    <n v="4.12"/>
    <x v="1"/>
    <n v="40"/>
    <n v="5.1999999999999998E-2"/>
  </r>
  <r>
    <n v="57"/>
    <x v="1"/>
    <x v="14"/>
    <s v="35-39"/>
    <n v="68"/>
    <n v="169"/>
    <n v="14.3"/>
    <n v="14"/>
    <n v="0.30000000000000071"/>
    <x v="14"/>
    <n v="41.3"/>
    <n v="39.9"/>
    <n v="1.3999999999999986"/>
    <n v="3.3898305084745726"/>
    <n v="287"/>
    <n v="202"/>
    <n v="85"/>
    <n v="29.616724738675959"/>
    <n v="9.6"/>
    <n v="10"/>
    <n v="-0.40000000000000036"/>
    <n v="11.1"/>
    <n v="12.2"/>
    <n v="-1.0999999999999996"/>
    <n v="2950"/>
    <n v="75"/>
    <n v="70"/>
    <n v="329"/>
    <n v="1108"/>
    <n v="3.64"/>
    <x v="1"/>
    <n v="50"/>
    <n v="5.1999999999999998E-2"/>
  </r>
  <r>
    <n v="58"/>
    <x v="1"/>
    <x v="19"/>
    <s v="25-29"/>
    <n v="72"/>
    <n v="176"/>
    <n v="15"/>
    <n v="14.5"/>
    <n v="0.5"/>
    <x v="32"/>
    <n v="42.9"/>
    <n v="41.3"/>
    <n v="1.6000000000000014"/>
    <n v="3.729603729603733"/>
    <n v="335"/>
    <n v="230"/>
    <n v="105"/>
    <n v="31.343283582089555"/>
    <n v="10.199999999999999"/>
    <n v="10.5"/>
    <n v="-0.30000000000000071"/>
    <n v="12.2"/>
    <n v="12.9"/>
    <n v="-0.70000000000000107"/>
    <n v="3060"/>
    <n v="75"/>
    <n v="80"/>
    <n v="334"/>
    <n v="1137"/>
    <n v="3.79"/>
    <x v="1"/>
    <n v="44"/>
    <n v="0.47"/>
  </r>
  <r>
    <n v="59"/>
    <x v="1"/>
    <x v="0"/>
    <s v="30-34"/>
    <n v="79"/>
    <n v="181"/>
    <n v="15.1"/>
    <n v="14.3"/>
    <n v="0.79999999999999893"/>
    <x v="50"/>
    <n v="44.1"/>
    <n v="42.2"/>
    <n v="1.8999999999999986"/>
    <n v="4.3083900226757335"/>
    <n v="299"/>
    <n v="208"/>
    <n v="91"/>
    <n v="30.434782608695656"/>
    <n v="10.1"/>
    <n v="10.5"/>
    <n v="-0.40000000000000036"/>
    <n v="11.6"/>
    <n v="12.6"/>
    <n v="-1"/>
    <n v="3195"/>
    <n v="75"/>
    <n v="77"/>
    <n v="340"/>
    <n v="1180"/>
    <n v="4.01"/>
    <x v="1"/>
    <n v="50"/>
    <n v="5.1999999999999998E-2"/>
  </r>
  <r>
    <n v="60"/>
    <x v="1"/>
    <x v="19"/>
    <s v="25-29"/>
    <n v="72"/>
    <n v="176"/>
    <n v="14.7"/>
    <n v="14.4"/>
    <n v="0.29999999999999893"/>
    <x v="41"/>
    <n v="41.9"/>
    <n v="40.5"/>
    <n v="1.3999999999999986"/>
    <n v="3.3412887828162257"/>
    <n v="277"/>
    <n v="190"/>
    <n v="87"/>
    <n v="31.40794223826715"/>
    <n v="9.9"/>
    <n v="10.6"/>
    <n v="-0.69999999999999929"/>
    <n v="11.5"/>
    <n v="12.4"/>
    <n v="-0.90000000000000036"/>
    <n v="3325"/>
    <n v="75"/>
    <n v="72"/>
    <n v="340"/>
    <n v="1160"/>
    <n v="3.94"/>
    <x v="1"/>
    <n v="51"/>
    <n v="5.3999999999999999E-2"/>
  </r>
  <r>
    <n v="61"/>
    <x v="2"/>
    <x v="13"/>
    <s v="35-39"/>
    <n v="76"/>
    <n v="174"/>
    <n v="14.2"/>
    <n v="13.9"/>
    <n v="0.29999999999999893"/>
    <x v="47"/>
    <n v="42.4"/>
    <n v="41.2"/>
    <n v="1.1999999999999957"/>
    <n v="2.8301886792452731"/>
    <n v="330"/>
    <n v="274"/>
    <n v="56"/>
    <n v="16.969696969696972"/>
    <n v="8.3000000000000007"/>
    <n v="8.8000000000000007"/>
    <n v="-0.5"/>
    <n v="9.6"/>
    <n v="10.5"/>
    <n v="-0.90000000000000036"/>
    <n v="1892"/>
    <n v="96"/>
    <n v="39"/>
    <n v="261"/>
    <n v="1560"/>
    <n v="4.07"/>
    <x v="1"/>
    <n v="89.38"/>
    <n v="0.1"/>
  </r>
  <r>
    <n v="62"/>
    <x v="2"/>
    <x v="0"/>
    <s v="30-34"/>
    <n v="72"/>
    <n v="165"/>
    <n v="15.3"/>
    <n v="14.8"/>
    <n v="0.5"/>
    <x v="51"/>
    <n v="41.7"/>
    <n v="41"/>
    <n v="0.70000000000000284"/>
    <n v="1.6786570743405342"/>
    <n v="174"/>
    <n v="125"/>
    <n v="49"/>
    <n v="28.160919540229884"/>
    <n v="11.8"/>
    <n v="12.6"/>
    <n v="-0.79999999999999893"/>
    <n v="17.7"/>
    <n v="18.5"/>
    <n v="-0.80000000000000071"/>
    <n v="3598"/>
    <n v="92"/>
    <n v="77"/>
    <n v="262"/>
    <n v="1466"/>
    <n v="3.84"/>
    <x v="1"/>
    <n v="70.47"/>
    <n v="4.9000000000000002E-2"/>
  </r>
  <r>
    <n v="63"/>
    <x v="2"/>
    <x v="19"/>
    <s v="25-29"/>
    <n v="77"/>
    <n v="176"/>
    <n v="14.3"/>
    <n v="14.8"/>
    <n v="-0.5"/>
    <x v="52"/>
    <n v="42"/>
    <n v="43.1"/>
    <n v="-1.1000000000000014"/>
    <n v="-2.6190476190476226"/>
    <n v="252"/>
    <n v="164"/>
    <n v="88"/>
    <n v="34.920634920634917"/>
    <n v="11.9"/>
    <n v="11.9"/>
    <n v="0"/>
    <n v="16.100000000000001"/>
    <n v="17.3"/>
    <n v="-1.1999999999999993"/>
    <n v="2428"/>
    <n v="100"/>
    <n v="48"/>
    <n v="263"/>
    <n v="1738"/>
    <n v="4.57"/>
    <x v="1"/>
    <n v="96.79"/>
    <n v="9.5000000000000001E-2"/>
  </r>
  <r>
    <n v="64"/>
    <x v="2"/>
    <x v="16"/>
    <s v="25-29"/>
    <n v="66"/>
    <n v="168"/>
    <n v="14.6"/>
    <n v="14"/>
    <n v="0.59999999999999964"/>
    <x v="53"/>
    <n v="39.4"/>
    <n v="38.200000000000003"/>
    <n v="1.1999999999999957"/>
    <n v="3.0456852791878064"/>
    <n v="215"/>
    <n v="166"/>
    <n v="49"/>
    <n v="22.790697674418606"/>
    <n v="8.8000000000000007"/>
    <n v="9.5"/>
    <n v="-0.69999999999999929"/>
    <n v="9.5"/>
    <n v="10.7"/>
    <n v="-1.1999999999999993"/>
    <n v="2842"/>
    <n v="92"/>
    <n v="61"/>
    <n v="260"/>
    <n v="1590"/>
    <n v="4.13"/>
    <x v="1"/>
    <n v="79.83"/>
    <n v="6.7000000000000004E-2"/>
  </r>
  <r>
    <n v="65"/>
    <x v="2"/>
    <x v="7"/>
    <s v="25-29"/>
    <n v="65"/>
    <n v="168"/>
    <n v="15.9"/>
    <n v="15.1"/>
    <n v="0.80000000000000071"/>
    <x v="54"/>
    <n v="47.6"/>
    <n v="45.5"/>
    <n v="2.1000000000000014"/>
    <n v="4.4117647058823559"/>
    <n v="310"/>
    <n v="242"/>
    <n v="68"/>
    <n v="21.935483870967744"/>
    <n v="10"/>
    <n v="10.3"/>
    <n v="-0.30000000000000071"/>
    <n v="13.4"/>
    <n v="13.5"/>
    <n v="-9.9999999999999645E-2"/>
    <n v="1625"/>
    <n v="82"/>
    <n v="39"/>
    <n v="262"/>
    <n v="1238"/>
    <n v="3.24"/>
    <x v="2"/>
    <n v="76.69"/>
    <n v="8.3000000000000004E-2"/>
  </r>
  <r>
    <n v="66"/>
    <x v="2"/>
    <x v="16"/>
    <s v="25-29"/>
    <n v="77"/>
    <n v="172"/>
    <n v="14.7"/>
    <n v="14.2"/>
    <n v="0.5"/>
    <x v="55"/>
    <n v="43.5"/>
    <n v="42.7"/>
    <n v="0.79999999999999716"/>
    <n v="1.8390804597701083"/>
    <n v="231"/>
    <n v="178"/>
    <n v="53"/>
    <n v="22.943722943722943"/>
    <n v="11.8"/>
    <n v="12.3"/>
    <n v="-0.5"/>
    <n v="17.2"/>
    <n v="18"/>
    <n v="-0.80000000000000071"/>
    <n v="2578"/>
    <n v="98"/>
    <n v="52"/>
    <n v="260"/>
    <n v="1682"/>
    <n v="4.37"/>
    <x v="1"/>
    <n v="97.11"/>
    <n v="8.4000000000000005E-2"/>
  </r>
  <r>
    <n v="67"/>
    <x v="2"/>
    <x v="3"/>
    <s v="20-24"/>
    <n v="83"/>
    <n v="175"/>
    <n v="12.7"/>
    <n v="12.3"/>
    <n v="0.39999999999999858"/>
    <x v="56"/>
    <n v="38.299999999999997"/>
    <n v="37.5"/>
    <n v="0.79999999999999716"/>
    <n v="2.0887728459529953"/>
    <n v="325"/>
    <n v="262"/>
    <n v="63"/>
    <n v="19.384615384615383"/>
    <n v="9.6"/>
    <n v="9.4"/>
    <n v="0.19999999999999929"/>
    <n v="11"/>
    <n v="11.4"/>
    <n v="-0.40000000000000036"/>
    <n v="1909"/>
    <n v="96"/>
    <n v="39"/>
    <n v="283"/>
    <n v="1524"/>
    <n v="4.3099999999999996"/>
    <x v="1"/>
    <n v="89.09"/>
    <n v="0.11"/>
  </r>
  <r>
    <n v="68"/>
    <x v="2"/>
    <x v="9"/>
    <s v="25-29"/>
    <n v="92"/>
    <n v="180"/>
    <n v="15.2"/>
    <n v="14.7"/>
    <n v="0.5"/>
    <x v="23"/>
    <n v="45.5"/>
    <n v="44.9"/>
    <n v="0.60000000000000142"/>
    <n v="1.3186813186813218"/>
    <n v="306"/>
    <n v="264"/>
    <n v="42"/>
    <n v="13.725490196078432"/>
    <n v="9.5"/>
    <n v="9.9"/>
    <n v="-0.40000000000000036"/>
    <n v="11"/>
    <n v="12.6"/>
    <n v="-1.5999999999999996"/>
    <n v="1991"/>
    <n v="98"/>
    <n v="40"/>
    <n v="282"/>
    <n v="1563"/>
    <n v="4.4000000000000004"/>
    <x v="1"/>
    <n v="82.06"/>
    <n v="0.11"/>
  </r>
  <r>
    <n v="69"/>
    <x v="2"/>
    <x v="21"/>
    <s v="20-24"/>
    <n v="62"/>
    <n v="171"/>
    <n v="15.4"/>
    <n v="15.1"/>
    <n v="0.30000000000000071"/>
    <x v="37"/>
    <n v="46.1"/>
    <n v="44.8"/>
    <n v="1.3000000000000043"/>
    <n v="2.8199566160520702"/>
    <n v="316"/>
    <n v="208"/>
    <n v="108"/>
    <n v="34.177215189873415"/>
    <n v="7.4"/>
    <n v="7.7"/>
    <n v="-0.29999999999999982"/>
    <n v="7.9"/>
    <n v="8.1"/>
    <n v="-0.19999999999999929"/>
    <n v="2011"/>
    <n v="88"/>
    <n v="45"/>
    <n v="262"/>
    <n v="1699"/>
    <n v="4.45"/>
    <x v="1"/>
    <n v="97.94"/>
    <n v="0.09"/>
  </r>
  <r>
    <n v="70"/>
    <x v="2"/>
    <x v="22"/>
    <s v="40-44"/>
    <n v="75"/>
    <n v="172"/>
    <n v="12.8"/>
    <n v="12"/>
    <n v="0.80000000000000071"/>
    <x v="57"/>
    <n v="40.5"/>
    <n v="39"/>
    <n v="1.5"/>
    <n v="3.7037037037037033"/>
    <n v="331"/>
    <n v="273"/>
    <n v="58"/>
    <n v="17.522658610271904"/>
    <n v="9.1999999999999993"/>
    <n v="9.6"/>
    <n v="-0.40000000000000036"/>
    <n v="10.7"/>
    <n v="11"/>
    <n v="-0.30000000000000071"/>
    <n v="1881"/>
    <n v="94"/>
    <n v="40"/>
    <n v="260"/>
    <n v="1791"/>
    <n v="4.6500000000000004"/>
    <x v="1"/>
    <n v="98.39"/>
    <n v="0.11"/>
  </r>
  <r>
    <n v="71"/>
    <x v="2"/>
    <x v="4"/>
    <s v="30-34"/>
    <n v="75"/>
    <n v="170"/>
    <n v="15"/>
    <n v="14.5"/>
    <n v="0.5"/>
    <x v="32"/>
    <n v="42"/>
    <n v="41"/>
    <n v="1"/>
    <n v="2.3809523809523809"/>
    <n v="260"/>
    <n v="200"/>
    <n v="60"/>
    <n v="23.076923076923077"/>
    <n v="10.5"/>
    <n v="11"/>
    <n v="-0.5"/>
    <n v="12"/>
    <n v="12.5"/>
    <n v="-0.5"/>
    <n v="2500"/>
    <n v="82"/>
    <n v="60"/>
    <n v="270"/>
    <n v="1500"/>
    <n v="3.9"/>
    <x v="1"/>
    <n v="78"/>
    <n v="6.5000000000000002E-2"/>
  </r>
  <r>
    <n v="72"/>
    <x v="2"/>
    <x v="19"/>
    <s v="25-29"/>
    <n v="68"/>
    <n v="165"/>
    <n v="14.8"/>
    <n v="14.2"/>
    <n v="0.60000000000000142"/>
    <x v="58"/>
    <n v="40.5"/>
    <n v="39.5"/>
    <n v="1"/>
    <n v="2.4691358024691357"/>
    <n v="240"/>
    <n v="180"/>
    <n v="60"/>
    <n v="25"/>
    <n v="9.8000000000000007"/>
    <n v="10.199999999999999"/>
    <n v="-0.39999999999999858"/>
    <n v="11.5"/>
    <n v="12"/>
    <n v="-0.5"/>
    <n v="2600"/>
    <n v="82"/>
    <n v="62"/>
    <n v="265"/>
    <n v="1550"/>
    <n v="4.0999999999999996"/>
    <x v="1"/>
    <n v="80.5"/>
    <n v="0.06"/>
  </r>
  <r>
    <n v="73"/>
    <x v="2"/>
    <x v="5"/>
    <s v="35-39"/>
    <n v="80"/>
    <n v="175"/>
    <n v="15.5"/>
    <n v="15"/>
    <n v="0.5"/>
    <x v="49"/>
    <n v="43"/>
    <n v="42"/>
    <n v="1"/>
    <n v="2.3255813953488373"/>
    <n v="280"/>
    <n v="220"/>
    <n v="60"/>
    <n v="21.428571428571427"/>
    <n v="10.199999999999999"/>
    <n v="10.7"/>
    <n v="-0.5"/>
    <n v="13"/>
    <n v="13.5"/>
    <n v="-0.5"/>
    <n v="2700"/>
    <n v="82"/>
    <n v="65"/>
    <n v="275"/>
    <n v="1600"/>
    <n v="4.2"/>
    <x v="1"/>
    <n v="81"/>
    <n v="6.4000000000000001E-2"/>
  </r>
  <r>
    <n v="74"/>
    <x v="2"/>
    <x v="6"/>
    <s v="25-29"/>
    <n v="70"/>
    <n v="168"/>
    <n v="14.9"/>
    <n v="14.4"/>
    <n v="0.5"/>
    <x v="48"/>
    <n v="41"/>
    <n v="40"/>
    <n v="1"/>
    <n v="2.4390243902439024"/>
    <n v="250"/>
    <n v="190"/>
    <n v="60"/>
    <n v="24"/>
    <n v="9.5"/>
    <n v="10"/>
    <n v="-0.5"/>
    <n v="10.5"/>
    <n v="11"/>
    <n v="-0.5"/>
    <n v="2550"/>
    <n v="86"/>
    <n v="58"/>
    <n v="260"/>
    <n v="1450"/>
    <n v="3.8"/>
    <x v="1"/>
    <n v="77.5"/>
    <n v="6.5000000000000002E-2"/>
  </r>
  <r>
    <n v="75"/>
    <x v="2"/>
    <x v="20"/>
    <s v="30-34"/>
    <n v="74"/>
    <n v="172"/>
    <n v="15.2"/>
    <n v="14.7"/>
    <n v="0.5"/>
    <x v="23"/>
    <n v="42.5"/>
    <n v="41.5"/>
    <n v="1"/>
    <n v="2.3529411764705883"/>
    <n v="270"/>
    <n v="210"/>
    <n v="60"/>
    <n v="22.222222222222221"/>
    <n v="10"/>
    <n v="10.5"/>
    <n v="-0.5"/>
    <n v="12.5"/>
    <n v="13"/>
    <n v="-0.5"/>
    <n v="2650"/>
    <n v="84"/>
    <n v="63"/>
    <n v="268"/>
    <n v="1520"/>
    <n v="4"/>
    <x v="1"/>
    <n v="79"/>
    <n v="0.06"/>
  </r>
  <r>
    <n v="76"/>
    <x v="2"/>
    <x v="20"/>
    <s v="30-34"/>
    <n v="75"/>
    <n v="169"/>
    <n v="14.7"/>
    <n v="14.3"/>
    <n v="0.39999999999999858"/>
    <x v="59"/>
    <n v="42.1"/>
    <n v="41.5"/>
    <n v="0.60000000000000142"/>
    <n v="1.425178147268412"/>
    <n v="210"/>
    <n v="165"/>
    <n v="45"/>
    <n v="21.428571428571427"/>
    <n v="10.199999999999999"/>
    <n v="11"/>
    <n v="-0.80000000000000071"/>
    <n v="15"/>
    <n v="16.2"/>
    <n v="-1.1999999999999993"/>
    <n v="2890"/>
    <n v="90"/>
    <n v="63"/>
    <n v="263"/>
    <n v="1510"/>
    <n v="4.05"/>
    <x v="1"/>
    <n v="77.5"/>
    <n v="6.4000000000000001E-2"/>
  </r>
  <r>
    <n v="77"/>
    <x v="2"/>
    <x v="19"/>
    <s v="25-29"/>
    <n v="80"/>
    <n v="173"/>
    <n v="15.4"/>
    <n v="14.8"/>
    <n v="0.59999999999999964"/>
    <x v="9"/>
    <n v="43.5"/>
    <n v="42"/>
    <n v="1.5"/>
    <n v="3.4482758620689653"/>
    <n v="250"/>
    <n v="200"/>
    <n v="50"/>
    <n v="20"/>
    <n v="9.5"/>
    <n v="10.5"/>
    <n v="-1"/>
    <n v="13.5"/>
    <n v="14"/>
    <n v="-0.5"/>
    <n v="3000"/>
    <n v="84"/>
    <n v="70"/>
    <n v="270"/>
    <n v="1445"/>
    <n v="3.8"/>
    <x v="1"/>
    <n v="75.8"/>
    <n v="0.05"/>
  </r>
  <r>
    <n v="78"/>
    <x v="2"/>
    <x v="6"/>
    <s v="25-29"/>
    <n v="72"/>
    <n v="176"/>
    <n v="15.1"/>
    <n v="14.6"/>
    <n v="0.5"/>
    <x v="60"/>
    <n v="40.5"/>
    <n v="41.2"/>
    <n v="-0.70000000000000284"/>
    <n v="-1.7283950617284023"/>
    <n v="185"/>
    <n v="145"/>
    <n v="40"/>
    <n v="21.621621621621621"/>
    <n v="10.8"/>
    <n v="10.8"/>
    <n v="0"/>
    <n v="12.2"/>
    <n v="13.5"/>
    <n v="-1.3000000000000007"/>
    <n v="3200"/>
    <n v="54"/>
    <n v="59"/>
    <n v="258"/>
    <n v="1400"/>
    <n v="4.2"/>
    <x v="1"/>
    <n v="78.3"/>
    <n v="7.0999999999999994E-2"/>
  </r>
  <r>
    <n v="79"/>
    <x v="2"/>
    <x v="4"/>
    <s v="30-34"/>
    <n v="66"/>
    <n v="165"/>
    <n v="14.9"/>
    <n v="14.5"/>
    <n v="0.40000000000000036"/>
    <x v="61"/>
    <n v="44.2"/>
    <n v="43.5"/>
    <n v="0.70000000000000284"/>
    <n v="1.5837104072398251"/>
    <n v="220"/>
    <n v="175"/>
    <n v="45"/>
    <n v="20.454545454545457"/>
    <n v="10"/>
    <n v="10.1"/>
    <n v="-9.9999999999999645E-2"/>
    <n v="14"/>
    <n v="14.7"/>
    <n v="-0.69999999999999929"/>
    <n v="3100"/>
    <n v="92"/>
    <n v="66"/>
    <n v="265"/>
    <n v="1550"/>
    <n v="4"/>
    <x v="1"/>
    <n v="79"/>
    <n v="0.06"/>
  </r>
  <r>
    <n v="80"/>
    <x v="2"/>
    <x v="9"/>
    <s v="25-29"/>
    <n v="68"/>
    <n v="171"/>
    <n v="15"/>
    <n v="14.2"/>
    <n v="0.80000000000000071"/>
    <x v="62"/>
    <n v="41.5"/>
    <n v="41"/>
    <n v="0.5"/>
    <n v="1.2048192771084338"/>
    <n v="240"/>
    <n v="160"/>
    <n v="80"/>
    <n v="33.333333333333329"/>
    <n v="9.9"/>
    <n v="10.4"/>
    <n v="-0.5"/>
    <n v="13.5"/>
    <n v="13.8"/>
    <n v="-0.30000000000000071"/>
    <n v="2700"/>
    <n v="86"/>
    <n v="62"/>
    <n v="272"/>
    <n v="1600"/>
    <n v="3.95"/>
    <x v="1"/>
    <n v="76.8"/>
    <n v="6.3E-2"/>
  </r>
  <r>
    <n v="81"/>
    <x v="2"/>
    <x v="11"/>
    <s v="30-34"/>
    <n v="70"/>
    <n v="170"/>
    <n v="14.6"/>
    <n v="14.7"/>
    <n v="-9.9999999999999645E-2"/>
    <x v="63"/>
    <n v="43"/>
    <n v="42.3"/>
    <n v="0.70000000000000284"/>
    <n v="1.6279069767441927"/>
    <n v="215"/>
    <n v="180"/>
    <n v="35"/>
    <n v="16.279069767441861"/>
    <n v="10.1"/>
    <n v="11"/>
    <n v="-0.90000000000000036"/>
    <n v="12.5"/>
    <n v="14.2"/>
    <n v="-1.6999999999999993"/>
    <n v="2950"/>
    <n v="86"/>
    <n v="68"/>
    <n v="265"/>
    <n v="1500"/>
    <n v="3.8"/>
    <x v="1"/>
    <n v="78.5"/>
    <n v="5.5E-2"/>
  </r>
  <r>
    <n v="82"/>
    <x v="2"/>
    <x v="19"/>
    <s v="25-29"/>
    <n v="65"/>
    <n v="174"/>
    <n v="15.3"/>
    <n v="14.6"/>
    <n v="0.70000000000000107"/>
    <x v="64"/>
    <n v="42.8"/>
    <n v="42.4"/>
    <n v="0.39999999999999858"/>
    <n v="0.93457943925233322"/>
    <n v="230"/>
    <n v="155"/>
    <n v="75"/>
    <n v="32.608695652173914"/>
    <n v="10.3"/>
    <n v="10.9"/>
    <n v="-0.59999999999999964"/>
    <n v="14"/>
    <n v="14.5"/>
    <n v="-0.5"/>
    <n v="2850"/>
    <n v="80"/>
    <n v="71"/>
    <n v="280"/>
    <n v="1480"/>
    <n v="4.1500000000000004"/>
    <x v="1"/>
    <n v="80"/>
    <n v="0.05"/>
  </r>
  <r>
    <n v="83"/>
    <x v="2"/>
    <x v="7"/>
    <s v="25-29"/>
    <n v="78"/>
    <n v="178"/>
    <n v="14.7"/>
    <n v="14.8"/>
    <n v="-0.10000000000000142"/>
    <x v="65"/>
    <n v="44.3"/>
    <n v="44"/>
    <n v="0.29999999999999716"/>
    <n v="0.67720090293453095"/>
    <n v="200"/>
    <n v="145"/>
    <n v="55"/>
    <n v="27.500000000000004"/>
    <n v="10.199999999999999"/>
    <n v="11.2"/>
    <n v="-1"/>
    <n v="13"/>
    <n v="15"/>
    <n v="-2"/>
    <n v="3150"/>
    <n v="96"/>
    <n v="65"/>
    <n v="275"/>
    <n v="1530"/>
    <n v="4.0999999999999996"/>
    <x v="1"/>
    <n v="77"/>
    <n v="6.3E-2"/>
  </r>
  <r>
    <n v="84"/>
    <x v="2"/>
    <x v="15"/>
    <s v="30-34"/>
    <n v="74"/>
    <n v="175"/>
    <n v="15"/>
    <n v="14.4"/>
    <n v="0.59999999999999964"/>
    <x v="66"/>
    <n v="41.8"/>
    <n v="41.7"/>
    <n v="9.9999999999994316E-2"/>
    <n v="0.23923444976075198"/>
    <n v="265"/>
    <n v="215"/>
    <n v="50"/>
    <n v="18.867924528301888"/>
    <n v="9.6999999999999993"/>
    <n v="10.6"/>
    <n v="-0.90000000000000036"/>
    <n v="12.5"/>
    <n v="14.3"/>
    <n v="-1.8000000000000007"/>
    <n v="3300"/>
    <n v="110"/>
    <n v="60"/>
    <n v="265"/>
    <n v="1520"/>
    <n v="4"/>
    <x v="1"/>
    <n v="75.5"/>
    <n v="6.6000000000000003E-2"/>
  </r>
  <r>
    <n v="85"/>
    <x v="2"/>
    <x v="0"/>
    <s v="30-34"/>
    <n v="80"/>
    <n v="160"/>
    <n v="14.8"/>
    <n v="14"/>
    <n v="0.80000000000000071"/>
    <x v="67"/>
    <n v="40.700000000000003"/>
    <n v="39.9"/>
    <n v="0.80000000000000426"/>
    <n v="1.9656019656019759"/>
    <n v="245"/>
    <n v="195"/>
    <n v="50"/>
    <n v="20.408163265306122"/>
    <n v="10"/>
    <n v="10.8"/>
    <n v="-0.80000000000000071"/>
    <n v="14"/>
    <n v="13.7"/>
    <n v="0.30000000000000071"/>
    <n v="2650"/>
    <n v="92"/>
    <n v="57"/>
    <n v="259"/>
    <n v="1590"/>
    <n v="4.25"/>
    <x v="1"/>
    <n v="79.3"/>
    <n v="7.3999999999999996E-2"/>
  </r>
  <r>
    <n v="86"/>
    <x v="2"/>
    <x v="16"/>
    <s v="25-29"/>
    <n v="77"/>
    <n v="169"/>
    <n v="14.9"/>
    <n v="14.6"/>
    <n v="0.30000000000000071"/>
    <x v="68"/>
    <n v="43.2"/>
    <n v="42.6"/>
    <n v="0.60000000000000142"/>
    <n v="1.3888888888888922"/>
    <n v="220"/>
    <n v="190"/>
    <n v="30"/>
    <n v="13.636363636363635"/>
    <n v="9.9"/>
    <n v="10.4"/>
    <n v="-0.5"/>
    <n v="13.8"/>
    <n v="14.1"/>
    <n v="-0.29999999999999893"/>
    <n v="3150"/>
    <n v="98"/>
    <n v="64"/>
    <n v="263"/>
    <n v="1575"/>
    <n v="4.05"/>
    <x v="1"/>
    <n v="77.8"/>
    <n v="6.3E-2"/>
  </r>
  <r>
    <n v="87"/>
    <x v="2"/>
    <x v="20"/>
    <s v="30-34"/>
    <n v="79"/>
    <n v="177"/>
    <n v="14.6"/>
    <n v="14.9"/>
    <n v="-0.30000000000000071"/>
    <x v="69"/>
    <n v="42.5"/>
    <n v="42.8"/>
    <n v="-0.29999999999999716"/>
    <n v="-0.70588235294116985"/>
    <n v="255"/>
    <n v="210"/>
    <n v="45"/>
    <n v="17.647058823529413"/>
    <n v="10"/>
    <n v="11.1"/>
    <n v="-1.0999999999999996"/>
    <n v="13"/>
    <n v="14"/>
    <n v="-1"/>
    <n v="3100"/>
    <n v="88"/>
    <n v="69"/>
    <n v="267"/>
    <n v="1540"/>
    <n v="3.9"/>
    <x v="1"/>
    <n v="76"/>
    <n v="5.6000000000000001E-2"/>
  </r>
  <r>
    <n v="88"/>
    <x v="2"/>
    <x v="4"/>
    <s v="30-34"/>
    <n v="79"/>
    <n v="174"/>
    <n v="14.7"/>
    <n v="14.5"/>
    <n v="0.19999999999999929"/>
    <x v="70"/>
    <n v="44.7"/>
    <n v="44"/>
    <n v="0.70000000000000284"/>
    <n v="1.5659955257270757"/>
    <n v="230"/>
    <n v="210"/>
    <n v="20"/>
    <n v="8.695652173913043"/>
    <n v="9.8000000000000007"/>
    <n v="10.6"/>
    <n v="-0.79999999999999893"/>
    <n v="12.9"/>
    <n v="14.2"/>
    <n v="-1.2999999999999989"/>
    <n v="3300"/>
    <n v="90"/>
    <n v="72"/>
    <n v="260"/>
    <n v="1450"/>
    <n v="4.3"/>
    <x v="1"/>
    <n v="78.7"/>
    <n v="5.8999999999999997E-2"/>
  </r>
  <r>
    <n v="89"/>
    <x v="2"/>
    <x v="9"/>
    <s v="25-29"/>
    <n v="82"/>
    <n v="182"/>
    <n v="15.2"/>
    <n v="14.1"/>
    <n v="1.0999999999999996"/>
    <x v="71"/>
    <n v="41"/>
    <n v="40.299999999999997"/>
    <n v="0.70000000000000284"/>
    <n v="1.7073170731707388"/>
    <n v="280"/>
    <n v="230"/>
    <n v="50"/>
    <n v="17.857142857142858"/>
    <n v="9.8000000000000007"/>
    <n v="10.5"/>
    <n v="-0.69999999999999929"/>
    <n v="13"/>
    <n v="13.9"/>
    <n v="-0.90000000000000036"/>
    <n v="3250"/>
    <n v="106"/>
    <n v="61"/>
    <n v="275"/>
    <n v="1600"/>
    <n v="4.0999999999999996"/>
    <x v="1"/>
    <n v="79.2"/>
    <n v="6.7000000000000004E-2"/>
  </r>
  <r>
    <n v="90"/>
    <x v="2"/>
    <x v="0"/>
    <s v="30-34"/>
    <n v="75"/>
    <n v="168"/>
    <n v="14.6"/>
    <n v="14"/>
    <n v="0.59999999999999964"/>
    <x v="53"/>
    <n v="42.1"/>
    <n v="41"/>
    <n v="1.1000000000000014"/>
    <n v="2.6128266033254191"/>
    <n v="230"/>
    <n v="190"/>
    <n v="40"/>
    <n v="17.391304347826086"/>
    <n v="9.8000000000000007"/>
    <n v="10.7"/>
    <n v="-0.89999999999999858"/>
    <n v="13"/>
    <n v="14"/>
    <n v="-1"/>
    <n v="2900"/>
    <n v="92"/>
    <n v="62"/>
    <n v="265"/>
    <n v="1500"/>
    <n v="4"/>
    <x v="1"/>
    <n v="78"/>
    <n v="6.4000000000000001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n v="1"/>
    <x v="0"/>
    <n v="30"/>
    <s v="30-34"/>
    <x v="0"/>
    <x v="0"/>
    <n v="14.7"/>
    <n v="14.1"/>
    <n v="0.59999999999999964"/>
    <n v="4.0816326530612219"/>
    <n v="41.7"/>
    <n v="40"/>
    <n v="1.7000000000000028"/>
    <n v="4.0767386091127165"/>
    <n v="214"/>
    <n v="160"/>
    <n v="54"/>
    <n v="25.233644859813083"/>
    <n v="11.2"/>
    <n v="11.3"/>
    <n v="-0.10000000000000142"/>
    <n v="13.3"/>
    <n v="14.8"/>
    <n v="-1.5"/>
    <n v="2466"/>
    <n v="100"/>
    <n v="47"/>
    <n v="241"/>
    <n v="1049"/>
    <n v="2.52"/>
    <n v="1"/>
    <n v="54.7"/>
    <n v="5.2999999999999999E-2"/>
  </r>
  <r>
    <n v="2"/>
    <x v="0"/>
    <n v="39"/>
    <s v="35-39"/>
    <x v="1"/>
    <x v="1"/>
    <n v="16"/>
    <n v="15.5"/>
    <n v="0.5"/>
    <n v="3.125"/>
    <n v="46"/>
    <n v="44.7"/>
    <n v="1.2999999999999972"/>
    <n v="2.826086956521733"/>
    <n v="263"/>
    <n v="190"/>
    <n v="73"/>
    <n v="27.756653992395435"/>
    <n v="11"/>
    <n v="10.7"/>
    <n v="0.30000000000000071"/>
    <n v="15"/>
    <n v="13.6"/>
    <n v="1.4000000000000004"/>
    <n v="2377"/>
    <n v="100"/>
    <n v="45"/>
    <n v="241"/>
    <n v="805"/>
    <n v="1.94"/>
    <n v="1"/>
    <n v="36.1"/>
    <n v="4.2999999999999997E-2"/>
  </r>
  <r>
    <n v="3"/>
    <x v="0"/>
    <n v="22"/>
    <s v="20-24"/>
    <x v="2"/>
    <x v="2"/>
    <n v="14.5"/>
    <n v="13.8"/>
    <n v="0.69999999999999929"/>
    <n v="4.8275862068965472"/>
    <n v="41.8"/>
    <n v="40.200000000000003"/>
    <n v="1.5999999999999943"/>
    <n v="3.8277511961722355"/>
    <n v="197"/>
    <n v="138"/>
    <n v="59"/>
    <n v="29.949238578680205"/>
    <n v="12.8"/>
    <n v="10.7"/>
    <n v="2.1000000000000014"/>
    <n v="19.3"/>
    <n v="16.7"/>
    <n v="2.6000000000000014"/>
    <n v="3090"/>
    <n v="117"/>
    <n v="61"/>
    <n v="237"/>
    <n v="886"/>
    <n v="2.09"/>
    <n v="1"/>
    <n v="40.380000000000003"/>
    <n v="3.4000000000000002E-2"/>
  </r>
  <r>
    <n v="4"/>
    <x v="0"/>
    <n v="24"/>
    <s v="20-24"/>
    <x v="3"/>
    <x v="3"/>
    <n v="15.6"/>
    <n v="15.5"/>
    <n v="9.9999999999999645E-2"/>
    <n v="0.64102564102563875"/>
    <n v="45.2"/>
    <n v="45.1"/>
    <n v="0.10000000000000142"/>
    <n v="0.22123893805310046"/>
    <n v="469"/>
    <n v="338"/>
    <n v="131"/>
    <n v="27.931769722814497"/>
    <n v="7.9"/>
    <n v="8.1999999999999993"/>
    <n v="-0.29999999999999893"/>
    <n v="8.8000000000000007"/>
    <n v="9.5"/>
    <n v="-0.69999999999999929"/>
    <n v="1697"/>
    <n v="100"/>
    <n v="33"/>
    <n v="239"/>
    <n v="1200"/>
    <n v="2.86"/>
    <n v="1"/>
    <n v="41.77"/>
    <n v="8.5999999999999993E-2"/>
  </r>
  <r>
    <n v="5"/>
    <x v="0"/>
    <n v="32"/>
    <s v="30-34"/>
    <x v="2"/>
    <x v="4"/>
    <n v="13.1"/>
    <n v="12.7"/>
    <n v="0.40000000000000036"/>
    <n v="3.0534351145038197"/>
    <n v="41.4"/>
    <n v="40.1"/>
    <n v="1.2999999999999972"/>
    <n v="3.140096618357481"/>
    <n v="271"/>
    <n v="219"/>
    <n v="52"/>
    <n v="19.188191881918819"/>
    <n v="9.5"/>
    <n v="10.199999999999999"/>
    <n v="-0.69999999999999929"/>
    <n v="10.7"/>
    <n v="12.3"/>
    <n v="-1.6000000000000014"/>
    <n v="2257"/>
    <n v="66"/>
    <n v="41"/>
    <n v="241"/>
    <n v="1000"/>
    <n v="2.41"/>
    <n v="1"/>
    <n v="43.58"/>
    <n v="5.8000000000000003E-2"/>
  </r>
  <r>
    <n v="6"/>
    <x v="0"/>
    <n v="30"/>
    <s v="30-34"/>
    <x v="2"/>
    <x v="3"/>
    <n v="12.9"/>
    <n v="12.1"/>
    <n v="0.80000000000000071"/>
    <n v="6.2015503875969049"/>
    <n v="41.6"/>
    <n v="38"/>
    <n v="3.6000000000000014"/>
    <n v="8.6538461538461569"/>
    <n v="234"/>
    <n v="170"/>
    <n v="64"/>
    <n v="27.350427350427353"/>
    <n v="10.8"/>
    <n v="11"/>
    <n v="-0.19999999999999929"/>
    <n v="13.2"/>
    <n v="13.6"/>
    <n v="-0.40000000000000036"/>
    <n v="2661"/>
    <n v="110"/>
    <n v="49"/>
    <n v="240"/>
    <n v="1780"/>
    <n v="4.2699999999999996"/>
    <n v="3"/>
    <n v="79.44"/>
    <n v="8.6999999999999994E-2"/>
  </r>
  <r>
    <n v="7"/>
    <x v="0"/>
    <n v="30"/>
    <s v="30-34"/>
    <x v="4"/>
    <x v="0"/>
    <n v="14.3"/>
    <n v="13.9"/>
    <n v="0.40000000000000036"/>
    <n v="2.7972027972027997"/>
    <n v="45"/>
    <n v="43.5"/>
    <n v="1.5"/>
    <n v="3.3333333333333335"/>
    <n v="236"/>
    <n v="183"/>
    <n v="53"/>
    <n v="22.457627118644069"/>
    <n v="11.2"/>
    <n v="11.4"/>
    <n v="-0.20000000000000107"/>
    <n v="13.6"/>
    <n v="14.6"/>
    <n v="-1"/>
    <n v="2660"/>
    <n v="90"/>
    <n v="66"/>
    <n v="241"/>
    <n v="800"/>
    <n v="1.92"/>
    <n v="1"/>
    <n v="34.549999999999997"/>
    <n v="2.9000000000000001E-2"/>
  </r>
  <r>
    <n v="8"/>
    <x v="0"/>
    <n v="24"/>
    <s v="20-24"/>
    <x v="5"/>
    <x v="0"/>
    <n v="13.9"/>
    <n v="13.4"/>
    <n v="0.5"/>
    <n v="3.5971223021582732"/>
    <n v="43.4"/>
    <n v="41"/>
    <n v="2.3999999999999986"/>
    <n v="5.5299539170506877"/>
    <n v="216"/>
    <n v="140"/>
    <n v="76"/>
    <n v="35.185185185185183"/>
    <n v="12.1"/>
    <n v="12.6"/>
    <n v="-0.5"/>
    <n v="15.2"/>
    <n v="18.2"/>
    <n v="-3"/>
    <n v="2826"/>
    <n v="117"/>
    <n v="53"/>
    <n v="241"/>
    <n v="1167"/>
    <n v="2.81"/>
    <n v="1"/>
    <n v="55.86"/>
    <n v="5.2999999999999999E-2"/>
  </r>
  <r>
    <n v="9"/>
    <x v="0"/>
    <n v="22"/>
    <s v="20-24"/>
    <x v="6"/>
    <x v="1"/>
    <n v="13.8"/>
    <n v="13.7"/>
    <n v="0.10000000000000142"/>
    <n v="0.7246376811594305"/>
    <n v="44.4"/>
    <n v="43.8"/>
    <n v="0.60000000000000142"/>
    <n v="1.3513513513513546"/>
    <n v="247"/>
    <n v="173"/>
    <n v="74"/>
    <n v="29.959514170040485"/>
    <n v="12"/>
    <n v="12.4"/>
    <n v="-0.40000000000000036"/>
    <n v="14.8"/>
    <n v="16.7"/>
    <n v="-1.8999999999999986"/>
    <n v="2651"/>
    <n v="100"/>
    <n v="56"/>
    <n v="242"/>
    <n v="869"/>
    <n v="2.1"/>
    <n v="1"/>
    <n v="37.72"/>
    <n v="3.6999999999999998E-2"/>
  </r>
  <r>
    <n v="10"/>
    <x v="0"/>
    <n v="35"/>
    <s v="35-39"/>
    <x v="7"/>
    <x v="5"/>
    <n v="15.4"/>
    <n v="14.8"/>
    <n v="0.59999999999999964"/>
    <n v="3.8961038961038938"/>
    <n v="48.8"/>
    <n v="46.4"/>
    <n v="2.3999999999999986"/>
    <n v="4.9180327868852434"/>
    <n v="376"/>
    <n v="308"/>
    <n v="68"/>
    <n v="18.085106382978726"/>
    <n v="9.9"/>
    <n v="10.3"/>
    <n v="-0.40000000000000036"/>
    <n v="11.4"/>
    <n v="11.2"/>
    <n v="0.20000000000000107"/>
    <n v="1953"/>
    <n v="103"/>
    <n v="42"/>
    <n v="237"/>
    <n v="1865"/>
    <n v="4.42"/>
    <n v="3"/>
    <n v="66.180000000000007"/>
    <n v="0.1"/>
  </r>
  <r>
    <n v="11"/>
    <x v="0"/>
    <n v="24"/>
    <s v="20-24"/>
    <x v="8"/>
    <x v="0"/>
    <n v="14"/>
    <n v="13.4"/>
    <n v="0.59999999999999964"/>
    <n v="4.2857142857142829"/>
    <n v="44.8"/>
    <n v="43"/>
    <n v="1.7999999999999972"/>
    <n v="4.017857142857137"/>
    <n v="284"/>
    <n v="233"/>
    <n v="51"/>
    <n v="17.95774647887324"/>
    <n v="9.6999999999999993"/>
    <n v="10.8"/>
    <n v="-1.1000000000000014"/>
    <n v="10.8"/>
    <n v="13.7"/>
    <n v="-2.8999999999999986"/>
    <n v="2273"/>
    <n v="129"/>
    <n v="41"/>
    <n v="238"/>
    <n v="1493"/>
    <n v="3.55"/>
    <n v="3"/>
    <n v="60.42"/>
    <n v="8.5999999999999993E-2"/>
  </r>
  <r>
    <n v="12"/>
    <x v="0"/>
    <n v="32"/>
    <s v="30-34"/>
    <x v="9"/>
    <x v="4"/>
    <n v="15.6"/>
    <n v="15.2"/>
    <n v="0.40000000000000036"/>
    <n v="2.5641025641025665"/>
    <n v="48.7"/>
    <n v="47"/>
    <n v="1.7000000000000028"/>
    <n v="3.4907597535934349"/>
    <n v="275"/>
    <n v="232"/>
    <n v="43"/>
    <n v="15.636363636363637"/>
    <n v="9.5"/>
    <n v="9.6999999999999993"/>
    <n v="-0.19999999999999929"/>
    <n v="10.199999999999999"/>
    <n v="10.3"/>
    <n v="-0.10000000000000142"/>
    <n v="2447"/>
    <n v="127"/>
    <n v="46"/>
    <n v="236"/>
    <n v="2113"/>
    <n v="4.9800000000000004"/>
    <n v="3"/>
    <n v="80.28"/>
    <n v="0.1"/>
  </r>
  <r>
    <n v="13"/>
    <x v="0"/>
    <n v="27"/>
    <s v="25-29"/>
    <x v="10"/>
    <x v="3"/>
    <n v="16.3"/>
    <n v="15.6"/>
    <n v="0.70000000000000107"/>
    <n v="4.2944785276073683"/>
    <n v="49.4"/>
    <n v="47.1"/>
    <n v="2.2999999999999972"/>
    <n v="4.6558704453441244"/>
    <n v="312"/>
    <n v="226"/>
    <n v="86"/>
    <n v="27.564102564102566"/>
    <n v="9.3000000000000007"/>
    <n v="9.6"/>
    <n v="-0.29999999999999893"/>
    <n v="10.7"/>
    <n v="11.8"/>
    <n v="-1.1000000000000014"/>
    <n v="2216"/>
    <n v="129"/>
    <n v="40"/>
    <n v="239"/>
    <n v="1963"/>
    <n v="4.7300000000000004"/>
    <n v="3"/>
    <n v="79.349999999999994"/>
    <n v="0.11"/>
  </r>
  <r>
    <n v="14"/>
    <x v="0"/>
    <n v="25"/>
    <s v="25-29"/>
    <x v="11"/>
    <x v="6"/>
    <n v="13.7"/>
    <n v="13.1"/>
    <n v="0.59999999999999964"/>
    <n v="4.3795620437956178"/>
    <n v="38.1"/>
    <n v="36.4"/>
    <n v="1.7000000000000028"/>
    <n v="4.4619422572178555"/>
    <n v="313"/>
    <n v="232"/>
    <n v="81"/>
    <n v="25.878594249201274"/>
    <n v="10.9"/>
    <n v="11"/>
    <n v="-9.9999999999999645E-2"/>
    <n v="14.6"/>
    <n v="15.4"/>
    <n v="-0.80000000000000071"/>
    <n v="2074"/>
    <n v="119"/>
    <n v="41"/>
    <n v="240"/>
    <n v="778"/>
    <n v="2.1"/>
    <n v="1"/>
    <n v="37.159999999999997"/>
    <n v="5.0999999999999997E-2"/>
  </r>
  <r>
    <n v="15"/>
    <x v="0"/>
    <n v="35"/>
    <s v="35-39"/>
    <x v="10"/>
    <x v="4"/>
    <n v="14.3"/>
    <n v="14"/>
    <n v="0.30000000000000071"/>
    <n v="2.0979020979021028"/>
    <n v="43.1"/>
    <n v="42.5"/>
    <n v="0.60000000000000142"/>
    <n v="1.3921113689095159"/>
    <n v="191"/>
    <n v="129"/>
    <n v="62"/>
    <n v="32.460732984293195"/>
    <n v="11"/>
    <n v="11"/>
    <n v="0"/>
    <n v="14.2"/>
    <n v="15.3"/>
    <n v="-1.1000000000000014"/>
    <n v="3243"/>
    <n v="100"/>
    <n v="63"/>
    <n v="238"/>
    <n v="1834"/>
    <n v="4.3600000000000003"/>
    <n v="3"/>
    <n v="84.03"/>
    <n v="6.9000000000000006E-2"/>
  </r>
  <r>
    <n v="16"/>
    <x v="0"/>
    <n v="43"/>
    <s v="40-44"/>
    <x v="1"/>
    <x v="7"/>
    <n v="16"/>
    <n v="15.4"/>
    <n v="0.59999999999999964"/>
    <n v="3.7499999999999978"/>
    <n v="45.2"/>
    <n v="43.4"/>
    <n v="1.8000000000000043"/>
    <n v="3.9823008849557611"/>
    <n v="313"/>
    <n v="228"/>
    <n v="85"/>
    <n v="27.15654952076677"/>
    <n v="8.9"/>
    <n v="9.5"/>
    <n v="-0.59999999999999964"/>
    <n v="10.8"/>
    <n v="10.6"/>
    <n v="0.20000000000000107"/>
    <n v="2091"/>
    <n v="97"/>
    <n v="47"/>
    <n v="242"/>
    <n v="944"/>
    <n v="2.2799999999999998"/>
    <n v="1"/>
    <n v="40.31"/>
    <n v="4.8000000000000001E-2"/>
  </r>
  <r>
    <n v="17"/>
    <x v="0"/>
    <n v="25"/>
    <s v="25-29"/>
    <x v="12"/>
    <x v="4"/>
    <n v="14.3"/>
    <n v="14.1"/>
    <n v="0.20000000000000107"/>
    <n v="1.3986013986014061"/>
    <n v="41.5"/>
    <n v="40.799999999999997"/>
    <n v="0.70000000000000284"/>
    <n v="1.6867469879518142"/>
    <n v="241"/>
    <n v="155"/>
    <n v="86"/>
    <n v="35.684647302904565"/>
    <n v="11.2"/>
    <n v="10.9"/>
    <n v="0.29999999999999893"/>
    <n v="15.2"/>
    <n v="14.6"/>
    <n v="0.59999999999999964"/>
    <n v="2420"/>
    <n v="96"/>
    <n v="61"/>
    <n v="239"/>
    <n v="1131"/>
    <n v="2.7"/>
    <n v="1"/>
    <n v="56.35"/>
    <n v="4.3999999999999997E-2"/>
  </r>
  <r>
    <n v="18"/>
    <x v="0"/>
    <n v="28"/>
    <s v="25-29"/>
    <x v="13"/>
    <x v="8"/>
    <n v="15.1"/>
    <n v="14.2"/>
    <n v="0.90000000000000036"/>
    <n v="5.9602649006622546"/>
    <n v="45.4"/>
    <n v="42"/>
    <n v="3.3999999999999986"/>
    <n v="7.4889867841409661"/>
    <n v="243"/>
    <n v="169"/>
    <n v="74"/>
    <n v="30.452674897119341"/>
    <n v="10"/>
    <n v="10.5"/>
    <n v="-0.5"/>
    <n v="12.4"/>
    <n v="14"/>
    <n v="-1.5999999999999996"/>
    <n v="2681"/>
    <n v="100"/>
    <n v="60"/>
    <n v="242"/>
    <n v="1279"/>
    <n v="3.09"/>
    <n v="2"/>
    <n v="55.94"/>
    <n v="5.0999999999999997E-2"/>
  </r>
  <r>
    <n v="19"/>
    <x v="0"/>
    <n v="40"/>
    <s v="40-44"/>
    <x v="14"/>
    <x v="9"/>
    <n v="14.1"/>
    <n v="13.4"/>
    <n v="0.69999999999999929"/>
    <n v="4.9645390070921938"/>
    <n v="39.299999999999997"/>
    <n v="37.299999999999997"/>
    <n v="2"/>
    <n v="5.0890585241730282"/>
    <n v="219"/>
    <n v="131"/>
    <n v="88"/>
    <n v="40.182648401826484"/>
    <n v="11.1"/>
    <n v="11.3"/>
    <n v="-0.20000000000000107"/>
    <n v="14.4"/>
    <n v="15.1"/>
    <n v="-0.69999999999999929"/>
    <n v="2939"/>
    <n v="104"/>
    <n v="39"/>
    <n v="236"/>
    <n v="2200"/>
    <n v="5.19"/>
    <n v="3"/>
    <n v="100"/>
    <n v="0.13"/>
  </r>
  <r>
    <n v="20"/>
    <x v="0"/>
    <n v="34"/>
    <s v="30-34"/>
    <x v="15"/>
    <x v="6"/>
    <n v="13.6"/>
    <n v="13"/>
    <n v="0.59999999999999964"/>
    <n v="4.4117647058823506"/>
    <n v="42.6"/>
    <n v="40.700000000000003"/>
    <n v="1.8999999999999986"/>
    <n v="4.4600938967136114"/>
    <n v="259"/>
    <n v="208"/>
    <n v="51"/>
    <n v="19.691119691119692"/>
    <n v="10.3"/>
    <n v="10.7"/>
    <n v="-0.39999999999999858"/>
    <n v="13.2"/>
    <n v="14.4"/>
    <n v="-1.2000000000000011"/>
    <n v="2345"/>
    <n v="127"/>
    <n v="60"/>
    <n v="233"/>
    <n v="1647"/>
    <n v="3.83"/>
    <n v="3"/>
    <n v="82.58"/>
    <n v="6.3E-2"/>
  </r>
  <r>
    <n v="21"/>
    <x v="0"/>
    <n v="20"/>
    <s v="20-24"/>
    <x v="14"/>
    <x v="10"/>
    <n v="13.8"/>
    <n v="12.9"/>
    <n v="0.90000000000000036"/>
    <n v="6.5217391304347849"/>
    <n v="49.3"/>
    <n v="47.6"/>
    <n v="1.6999999999999957"/>
    <n v="3.4482758620689573"/>
    <n v="242"/>
    <n v="181"/>
    <n v="61"/>
    <n v="25.206611570247933"/>
    <n v="9.1"/>
    <n v="10.199999999999999"/>
    <n v="-1.0999999999999996"/>
    <n v="12.3"/>
    <n v="13.7"/>
    <n v="-1.3999999999999986"/>
    <n v="2769"/>
    <n v="105"/>
    <n v="63"/>
    <n v="238"/>
    <n v="1534"/>
    <n v="3.65"/>
    <n v="3"/>
    <n v="75.06"/>
    <n v="5.7000000000000002E-2"/>
  </r>
  <r>
    <n v="22"/>
    <x v="0"/>
    <n v="36"/>
    <s v="35-39"/>
    <x v="10"/>
    <x v="7"/>
    <n v="14.1"/>
    <n v="13.2"/>
    <n v="0.90000000000000036"/>
    <n v="6.3829787234042579"/>
    <n v="49.3"/>
    <n v="47.9"/>
    <n v="1.3999999999999986"/>
    <n v="2.8397565922920864"/>
    <n v="303"/>
    <n v="240"/>
    <n v="63"/>
    <n v="20.792079207920793"/>
    <n v="11.2"/>
    <n v="12"/>
    <n v="-0.80000000000000071"/>
    <n v="10.9"/>
    <n v="11.9"/>
    <n v="-1"/>
    <n v="2642"/>
    <n v="95"/>
    <n v="37"/>
    <n v="231"/>
    <n v="1826"/>
    <n v="4.21"/>
    <n v="3"/>
    <n v="73.02"/>
    <n v="0.11"/>
  </r>
  <r>
    <n v="23"/>
    <x v="0"/>
    <n v="27"/>
    <s v="25-29"/>
    <x v="15"/>
    <x v="6"/>
    <n v="16.3"/>
    <n v="15.6"/>
    <n v="0.70000000000000107"/>
    <n v="4.2944785276073683"/>
    <n v="46.7"/>
    <n v="45.6"/>
    <n v="1.1000000000000014"/>
    <n v="2.3554603854389748"/>
    <n v="277"/>
    <n v="204"/>
    <n v="73"/>
    <n v="26.353790613718413"/>
    <n v="11.4"/>
    <n v="11.7"/>
    <n v="-0.29999999999999893"/>
    <n v="12.6"/>
    <n v="13.3"/>
    <n v="-0.70000000000000107"/>
    <n v="2222"/>
    <n v="93"/>
    <n v="38"/>
    <n v="242"/>
    <n v="1340"/>
    <n v="3.24"/>
    <n v="2"/>
    <n v="78.61"/>
    <n v="8.5000000000000006E-2"/>
  </r>
  <r>
    <n v="24"/>
    <x v="0"/>
    <n v="28"/>
    <s v="25-29"/>
    <x v="16"/>
    <x v="11"/>
    <n v="15.7"/>
    <n v="15.2"/>
    <n v="0.5"/>
    <n v="3.1847133757961785"/>
    <n v="49.4"/>
    <n v="47.3"/>
    <n v="2.1000000000000014"/>
    <n v="4.2510121457489909"/>
    <n v="266"/>
    <n v="208"/>
    <n v="58"/>
    <n v="21.804511278195488"/>
    <n v="10"/>
    <n v="10.9"/>
    <n v="-0.90000000000000036"/>
    <n v="10.3"/>
    <n v="11.2"/>
    <n v="-0.89999999999999858"/>
    <n v="3125"/>
    <n v="125"/>
    <n v="55"/>
    <n v="236"/>
    <n v="1403"/>
    <n v="3.31"/>
    <n v="2"/>
    <n v="64.52"/>
    <n v="0.06"/>
  </r>
  <r>
    <n v="25"/>
    <x v="0"/>
    <n v="38"/>
    <s v="35-39"/>
    <x v="17"/>
    <x v="10"/>
    <n v="15.2"/>
    <n v="14.7"/>
    <n v="0.5"/>
    <n v="3.2894736842105261"/>
    <n v="43"/>
    <n v="41.1"/>
    <n v="1.8999999999999986"/>
    <n v="4.418604651162787"/>
    <n v="330"/>
    <n v="271"/>
    <n v="59"/>
    <n v="17.878787878787879"/>
    <n v="9.1"/>
    <n v="9.8000000000000007"/>
    <n v="-0.70000000000000107"/>
    <n v="10.199999999999999"/>
    <n v="11.1"/>
    <n v="-0.90000000000000036"/>
    <n v="2805"/>
    <n v="118"/>
    <n v="49"/>
    <n v="230"/>
    <n v="1310"/>
    <n v="3.01"/>
    <n v="2"/>
    <n v="61.86"/>
    <n v="6.0999999999999999E-2"/>
  </r>
  <r>
    <n v="26"/>
    <x v="0"/>
    <n v="36"/>
    <s v="35-39"/>
    <x v="17"/>
    <x v="7"/>
    <n v="14.6"/>
    <n v="14.2"/>
    <n v="0.40000000000000036"/>
    <n v="2.7397260273972628"/>
    <n v="44.3"/>
    <n v="42.5"/>
    <n v="1.7999999999999972"/>
    <n v="4.0632054176072172"/>
    <n v="228"/>
    <n v="148"/>
    <n v="80"/>
    <n v="35.087719298245609"/>
    <n v="9.4"/>
    <n v="10.5"/>
    <n v="-1.0999999999999996"/>
    <n v="13.9"/>
    <n v="15.2"/>
    <n v="-1.2999999999999989"/>
    <n v="2707"/>
    <n v="97"/>
    <n v="60"/>
    <n v="238"/>
    <n v="1417"/>
    <n v="3.37"/>
    <n v="2"/>
    <n v="71.75"/>
    <n v="5.6000000000000001E-2"/>
  </r>
  <r>
    <n v="27"/>
    <x v="0"/>
    <n v="32"/>
    <s v="30-34"/>
    <x v="11"/>
    <x v="4"/>
    <n v="15.5"/>
    <n v="14.6"/>
    <n v="0.90000000000000036"/>
    <n v="5.8064516129032278"/>
    <n v="44.7"/>
    <n v="42.9"/>
    <n v="1.8000000000000043"/>
    <n v="4.0268456375839019"/>
    <n v="254"/>
    <n v="197"/>
    <n v="57"/>
    <n v="22.440944881889763"/>
    <n v="11.5"/>
    <n v="11.8"/>
    <n v="-0.30000000000000071"/>
    <n v="10.7"/>
    <n v="11.8"/>
    <n v="-1.1000000000000014"/>
    <n v="2823"/>
    <n v="125"/>
    <n v="58"/>
    <n v="244"/>
    <n v="1587"/>
    <n v="3.87"/>
    <n v="3"/>
    <n v="75.930000000000007"/>
    <n v="6.6000000000000003E-2"/>
  </r>
  <r>
    <n v="28"/>
    <x v="0"/>
    <n v="33"/>
    <s v="30-34"/>
    <x v="18"/>
    <x v="0"/>
    <n v="14.5"/>
    <n v="14"/>
    <n v="0.5"/>
    <n v="3.4482758620689653"/>
    <n v="41.8"/>
    <n v="40.4"/>
    <n v="1.3999999999999986"/>
    <n v="3.3492822966507143"/>
    <n v="314"/>
    <n v="238"/>
    <n v="76"/>
    <n v="24.203821656050955"/>
    <n v="10.1"/>
    <n v="10.3"/>
    <n v="-0.20000000000000107"/>
    <n v="11.2"/>
    <n v="12.3"/>
    <n v="-1.1000000000000014"/>
    <n v="2001"/>
    <n v="124"/>
    <n v="54"/>
    <n v="238"/>
    <n v="1946"/>
    <n v="4.63"/>
    <n v="3"/>
    <n v="97.99"/>
    <n v="8.5000000000000006E-2"/>
  </r>
  <r>
    <n v="29"/>
    <x v="0"/>
    <n v="27"/>
    <s v="25-29"/>
    <x v="9"/>
    <x v="1"/>
    <n v="15"/>
    <n v="14"/>
    <n v="1"/>
    <n v="6.666666666666667"/>
    <n v="49.1"/>
    <n v="47.6"/>
    <n v="1.5"/>
    <n v="3.0549898167006111"/>
    <n v="214"/>
    <n v="157"/>
    <n v="57"/>
    <n v="26.635514018691588"/>
    <n v="9"/>
    <n v="9.9"/>
    <n v="-0.90000000000000036"/>
    <n v="14.3"/>
    <n v="15.1"/>
    <n v="-0.79999999999999893"/>
    <n v="2852"/>
    <n v="118"/>
    <n v="42"/>
    <n v="242"/>
    <n v="1639"/>
    <n v="3.96"/>
    <n v="3"/>
    <n v="73.84"/>
    <n v="9.4E-2"/>
  </r>
  <r>
    <n v="30"/>
    <x v="0"/>
    <n v="28"/>
    <s v="25-29"/>
    <x v="2"/>
    <x v="0"/>
    <n v="15.7"/>
    <n v="15"/>
    <n v="0.69999999999999929"/>
    <n v="4.4585987261146451"/>
    <n v="45.8"/>
    <n v="43.9"/>
    <n v="1.8999999999999986"/>
    <n v="4.1484716157205215"/>
    <n v="211"/>
    <n v="130"/>
    <n v="81"/>
    <n v="38.388625592417064"/>
    <n v="11"/>
    <n v="11.1"/>
    <n v="-9.9999999999999645E-2"/>
    <n v="12.5"/>
    <n v="13.7"/>
    <n v="-1.1999999999999993"/>
    <n v="2763"/>
    <n v="121"/>
    <n v="40"/>
    <n v="243"/>
    <n v="1355"/>
    <n v="3.29"/>
    <n v="2"/>
    <n v="72.45"/>
    <n v="8.2000000000000003E-2"/>
  </r>
  <r>
    <n v="31"/>
    <x v="1"/>
    <n v="26"/>
    <s v="25-29"/>
    <x v="19"/>
    <x v="0"/>
    <n v="14.3"/>
    <n v="14"/>
    <n v="0.30000000000000071"/>
    <n v="2.0979020979021028"/>
    <n v="38.700000000000003"/>
    <n v="37.6"/>
    <n v="1.1000000000000014"/>
    <n v="2.8423772609819156"/>
    <n v="278"/>
    <n v="180"/>
    <n v="98"/>
    <n v="35.251798561151077"/>
    <n v="11.3"/>
    <n v="11.5"/>
    <n v="-0.19999999999999929"/>
    <n v="12.8"/>
    <n v="13.9"/>
    <n v="-1.0999999999999996"/>
    <n v="2918"/>
    <n v="75"/>
    <n v="73"/>
    <n v="349"/>
    <n v="1208"/>
    <n v="4.22"/>
    <n v="3"/>
    <n v="63.15"/>
    <n v="5.7000000000000002E-2"/>
  </r>
  <r>
    <n v="32"/>
    <x v="1"/>
    <n v="19"/>
    <s v="16-19"/>
    <x v="12"/>
    <x v="1"/>
    <n v="14.1"/>
    <n v="13.7"/>
    <n v="0.40000000000000036"/>
    <n v="2.8368794326241162"/>
    <n v="42.2"/>
    <n v="40.6"/>
    <n v="1.6000000000000014"/>
    <n v="3.7914691943127994"/>
    <n v="449"/>
    <n v="347"/>
    <n v="102"/>
    <n v="22.717149220489976"/>
    <n v="8.9"/>
    <n v="9"/>
    <n v="-9.9999999999999645E-2"/>
    <n v="10.5"/>
    <n v="10.9"/>
    <n v="-0.40000000000000036"/>
    <n v="1869"/>
    <n v="79"/>
    <n v="47"/>
    <n v="327"/>
    <n v="739"/>
    <n v="2.41"/>
    <n v="1"/>
    <n v="32.43"/>
    <n v="5.0999999999999997E-2"/>
  </r>
  <r>
    <n v="33"/>
    <x v="1"/>
    <n v="23"/>
    <s v="20-24"/>
    <x v="20"/>
    <x v="12"/>
    <n v="16.3"/>
    <n v="16"/>
    <n v="0.30000000000000071"/>
    <n v="1.8404907975460165"/>
    <n v="46.6"/>
    <n v="44"/>
    <n v="2.6000000000000014"/>
    <n v="5.5793991416309048"/>
    <n v="244"/>
    <n v="177"/>
    <n v="67"/>
    <n v="27.459016393442624"/>
    <n v="10.3"/>
    <n v="10.5"/>
    <n v="-0.19999999999999929"/>
    <n v="12.6"/>
    <n v="12.9"/>
    <n v="-0.30000000000000071"/>
    <n v="3414"/>
    <n v="75"/>
    <n v="90"/>
    <n v="325"/>
    <n v="1053"/>
    <n v="3.86"/>
    <n v="3"/>
    <n v="53.76"/>
    <n v="4.2000000000000003E-2"/>
  </r>
  <r>
    <n v="34"/>
    <x v="1"/>
    <n v="23"/>
    <s v="20-24"/>
    <x v="19"/>
    <x v="6"/>
    <n v="14.6"/>
    <n v="14.1"/>
    <n v="0.5"/>
    <n v="3.4246575342465753"/>
    <n v="42.8"/>
    <n v="41.5"/>
    <n v="1.2999999999999972"/>
    <n v="3.0373831775700868"/>
    <n v="282"/>
    <n v="213"/>
    <n v="69"/>
    <n v="24.468085106382979"/>
    <n v="9.6"/>
    <n v="10.3"/>
    <n v="-0.70000000000000107"/>
    <n v="11.7"/>
    <n v="12.6"/>
    <n v="-0.90000000000000036"/>
    <n v="2779"/>
    <n v="75"/>
    <n v="73"/>
    <n v="326"/>
    <n v="1186"/>
    <n v="3.86"/>
    <n v="3"/>
    <n v="55.9"/>
    <n v="5.1999999999999998E-2"/>
  </r>
  <r>
    <n v="35"/>
    <x v="1"/>
    <n v="40"/>
    <s v="40-44"/>
    <x v="21"/>
    <x v="1"/>
    <n v="16"/>
    <n v="15.5"/>
    <n v="0.5"/>
    <n v="3.125"/>
    <n v="46.9"/>
    <n v="46.5"/>
    <n v="0.39999999999999858"/>
    <n v="0.8528784648187604"/>
    <n v="293"/>
    <n v="213"/>
    <n v="80"/>
    <n v="27.303754266211605"/>
    <n v="8.6999999999999993"/>
    <n v="9.8000000000000007"/>
    <n v="-1.1000000000000014"/>
    <n v="9.8000000000000007"/>
    <n v="10.5"/>
    <n v="-0.69999999999999929"/>
    <n v="2650"/>
    <n v="75"/>
    <n v="69"/>
    <n v="326"/>
    <n v="1126"/>
    <n v="3.67"/>
    <n v="3"/>
    <n v="57.6"/>
    <n v="5.2999999999999999E-2"/>
  </r>
  <r>
    <n v="36"/>
    <x v="1"/>
    <n v="26"/>
    <s v="25-29"/>
    <x v="10"/>
    <x v="3"/>
    <n v="15"/>
    <n v="14.5"/>
    <n v="0.5"/>
    <n v="3.3333333333333335"/>
    <n v="47.4"/>
    <n v="47"/>
    <n v="0.39999999999999858"/>
    <n v="0.84388185654008141"/>
    <n v="279"/>
    <n v="204"/>
    <n v="75"/>
    <n v="26.881720430107524"/>
    <n v="8.6999999999999993"/>
    <n v="9.3000000000000007"/>
    <n v="-0.60000000000000142"/>
    <n v="9.1"/>
    <n v="10"/>
    <n v="-0.90000000000000036"/>
    <n v="2916"/>
    <n v="79"/>
    <n v="73"/>
    <n v="349"/>
    <n v="1188"/>
    <n v="4.1399999999999997"/>
    <n v="3"/>
    <n v="58.9"/>
    <n v="5.6000000000000001E-2"/>
  </r>
  <r>
    <n v="37"/>
    <x v="1"/>
    <n v="24"/>
    <s v="20-24"/>
    <x v="8"/>
    <x v="13"/>
    <n v="14.3"/>
    <n v="14"/>
    <n v="0.30000000000000071"/>
    <n v="2.0979020979021028"/>
    <n v="43.9"/>
    <n v="43.6"/>
    <n v="0.29999999999999716"/>
    <n v="0.68337129840546051"/>
    <n v="298"/>
    <n v="212"/>
    <n v="86"/>
    <n v="28.859060402684566"/>
    <n v="11.3"/>
    <n v="11.7"/>
    <n v="-0.39999999999999858"/>
    <n v="13.6"/>
    <n v="13.8"/>
    <n v="-0.20000000000000107"/>
    <n v="2772"/>
    <n v="75"/>
    <n v="69"/>
    <n v="349"/>
    <n v="1170"/>
    <n v="4.08"/>
    <n v="3"/>
    <n v="57.8"/>
    <n v="5.8999999999999997E-2"/>
  </r>
  <r>
    <n v="38"/>
    <x v="1"/>
    <n v="26"/>
    <s v="25-29"/>
    <x v="6"/>
    <x v="14"/>
    <n v="15.2"/>
    <n v="14.9"/>
    <n v="0.29999999999999893"/>
    <n v="1.9736842105263088"/>
    <n v="48.6"/>
    <n v="46.8"/>
    <n v="1.8000000000000043"/>
    <n v="3.7037037037037126"/>
    <n v="298"/>
    <n v="217"/>
    <n v="81"/>
    <n v="27.181208053691275"/>
    <n v="11.1"/>
    <n v="11.8"/>
    <n v="-0.70000000000000107"/>
    <n v="13.5"/>
    <n v="15.1"/>
    <n v="-1.5999999999999996"/>
    <n v="2799"/>
    <n v="74"/>
    <n v="70"/>
    <n v="349"/>
    <n v="1221"/>
    <n v="4.26"/>
    <n v="3"/>
    <n v="59.1"/>
    <n v="0.06"/>
  </r>
  <r>
    <n v="39"/>
    <x v="1"/>
    <n v="32"/>
    <s v="30-34"/>
    <x v="14"/>
    <x v="9"/>
    <n v="13.8"/>
    <n v="13.8"/>
    <n v="0"/>
    <n v="0"/>
    <n v="43.7"/>
    <n v="43"/>
    <n v="0.70000000000000284"/>
    <n v="1.601830663615567"/>
    <n v="315"/>
    <n v="231"/>
    <n v="84"/>
    <n v="26.666666666666668"/>
    <n v="9.1"/>
    <n v="9.5"/>
    <n v="-0.40000000000000036"/>
    <n v="11.1"/>
    <n v="9.6999999999999993"/>
    <n v="1.4000000000000004"/>
    <n v="2625"/>
    <n v="75"/>
    <n v="65"/>
    <n v="350"/>
    <n v="1221"/>
    <n v="4.2699999999999996"/>
    <n v="3"/>
    <n v="60"/>
    <n v="6.5000000000000002E-2"/>
  </r>
  <r>
    <n v="40"/>
    <x v="1"/>
    <n v="32"/>
    <s v="30-34"/>
    <x v="16"/>
    <x v="4"/>
    <n v="13.8"/>
    <n v="13.5"/>
    <n v="0.30000000000000071"/>
    <n v="2.1739130434782661"/>
    <n v="44.7"/>
    <n v="42"/>
    <n v="2.7000000000000028"/>
    <n v="6.0402684563758449"/>
    <n v="233"/>
    <n v="187"/>
    <n v="46"/>
    <n v="19.742489270386265"/>
    <n v="11.6"/>
    <n v="11.9"/>
    <n v="-0.30000000000000071"/>
    <n v="14.4"/>
    <n v="15.2"/>
    <n v="-0.79999999999999893"/>
    <n v="3532"/>
    <n v="75"/>
    <n v="89"/>
    <n v="348"/>
    <n v="1209"/>
    <n v="4.2"/>
    <n v="3"/>
    <n v="57"/>
    <n v="4.7E-2"/>
  </r>
  <r>
    <n v="41"/>
    <x v="1"/>
    <n v="25"/>
    <s v="25-29"/>
    <x v="13"/>
    <x v="7"/>
    <n v="15.6"/>
    <n v="15"/>
    <n v="0.59999999999999964"/>
    <n v="3.8461538461538445"/>
    <n v="45.5"/>
    <n v="45.2"/>
    <n v="0.29999999999999716"/>
    <n v="0.65934065934065311"/>
    <n v="245"/>
    <n v="164"/>
    <n v="81"/>
    <n v="33.061224489795919"/>
    <n v="10.1"/>
    <n v="10.5"/>
    <n v="-0.40000000000000036"/>
    <n v="12.1"/>
    <n v="13.3"/>
    <n v="-1.2000000000000011"/>
    <n v="3094"/>
    <n v="75"/>
    <n v="82"/>
    <n v="325"/>
    <n v="1089"/>
    <n v="3.53"/>
    <n v="3"/>
    <n v="56"/>
    <n v="4.2999999999999997E-2"/>
  </r>
  <r>
    <n v="42"/>
    <x v="1"/>
    <n v="30"/>
    <s v="30-34"/>
    <x v="12"/>
    <x v="4"/>
    <n v="15.4"/>
    <n v="15.1"/>
    <n v="0.30000000000000071"/>
    <n v="1.9480519480519525"/>
    <n v="43.2"/>
    <n v="42.6"/>
    <n v="0.60000000000000142"/>
    <n v="1.3888888888888922"/>
    <n v="253"/>
    <n v="188"/>
    <n v="65"/>
    <n v="25.691699604743086"/>
    <n v="10.7"/>
    <n v="11.2"/>
    <n v="-0.5"/>
    <n v="15.3"/>
    <n v="15.5"/>
    <n v="-0.19999999999999929"/>
    <n v="3096"/>
    <n v="75"/>
    <n v="82"/>
    <n v="349"/>
    <n v="973"/>
    <n v="3.39"/>
    <n v="2"/>
    <n v="50"/>
    <n v="4.1000000000000002E-2"/>
  </r>
  <r>
    <n v="43"/>
    <x v="1"/>
    <n v="19"/>
    <s v="16-19"/>
    <x v="22"/>
    <x v="5"/>
    <n v="16.8"/>
    <n v="16.5"/>
    <n v="0.30000000000000071"/>
    <n v="1.7857142857142898"/>
    <n v="47.8"/>
    <n v="46.8"/>
    <n v="1"/>
    <n v="2.0920502092050213"/>
    <n v="453"/>
    <n v="370"/>
    <n v="83"/>
    <n v="18.322295805739515"/>
    <n v="8.8000000000000007"/>
    <n v="9.1"/>
    <n v="-0.29999999999999893"/>
    <n v="10.6"/>
    <n v="10.6"/>
    <n v="0"/>
    <n v="2037"/>
    <n v="75"/>
    <n v="52"/>
    <n v="327"/>
    <n v="1312"/>
    <n v="4.29"/>
    <n v="3"/>
    <n v="51"/>
    <n v="8.2000000000000003E-2"/>
  </r>
  <r>
    <n v="44"/>
    <x v="1"/>
    <n v="22"/>
    <s v="20-24"/>
    <x v="13"/>
    <x v="1"/>
    <n v="14.4"/>
    <n v="13.9"/>
    <n v="0.5"/>
    <n v="3.4722222222222223"/>
    <n v="42.6"/>
    <n v="40.9"/>
    <n v="1.7000000000000028"/>
    <n v="3.9906103286385037"/>
    <n v="268"/>
    <n v="174"/>
    <n v="94"/>
    <n v="35.074626865671647"/>
    <n v="10.5"/>
    <n v="11"/>
    <n v="-0.5"/>
    <n v="13.9"/>
    <n v="14.2"/>
    <n v="-0.29999999999999893"/>
    <n v="3075"/>
    <n v="75"/>
    <n v="82"/>
    <n v="325"/>
    <n v="1207"/>
    <n v="3.92"/>
    <n v="3"/>
    <n v="58"/>
    <n v="4.7E-2"/>
  </r>
  <r>
    <n v="45"/>
    <x v="1"/>
    <n v="29"/>
    <s v="25-29"/>
    <x v="10"/>
    <x v="11"/>
    <n v="15.2"/>
    <n v="14.8"/>
    <n v="0.39999999999999858"/>
    <n v="2.6315789473684119"/>
    <n v="43.5"/>
    <n v="42"/>
    <n v="1.5"/>
    <n v="3.4482758620689653"/>
    <n v="310"/>
    <n v="215"/>
    <n v="95"/>
    <n v="30.64516129032258"/>
    <n v="10.1"/>
    <n v="10.4"/>
    <n v="-0.30000000000000071"/>
    <n v="11.9"/>
    <n v="12.8"/>
    <n v="-0.90000000000000036"/>
    <n v="3050"/>
    <n v="76"/>
    <n v="72"/>
    <n v="331"/>
    <n v="1095"/>
    <n v="3.62"/>
    <n v="3"/>
    <n v="45"/>
    <n v="0.05"/>
  </r>
  <r>
    <n v="46"/>
    <x v="1"/>
    <n v="34"/>
    <s v="30-34"/>
    <x v="23"/>
    <x v="5"/>
    <n v="14.7"/>
    <n v="14.4"/>
    <n v="0.29999999999999893"/>
    <n v="2.0408163265306052"/>
    <n v="44.1"/>
    <n v="42.9"/>
    <n v="1.2000000000000028"/>
    <n v="2.7210884353741562"/>
    <n v="275"/>
    <n v="190"/>
    <n v="85"/>
    <n v="30.909090909090907"/>
    <n v="9.8000000000000007"/>
    <n v="10"/>
    <n v="-0.19999999999999929"/>
    <n v="10.7"/>
    <n v="11.2"/>
    <n v="-0.5"/>
    <n v="2820"/>
    <n v="74"/>
    <n v="70"/>
    <n v="320"/>
    <n v="1028"/>
    <n v="3.28"/>
    <n v="2"/>
    <n v="50"/>
    <n v="4.5999999999999999E-2"/>
  </r>
  <r>
    <n v="47"/>
    <x v="1"/>
    <n v="22"/>
    <s v="20-24"/>
    <x v="17"/>
    <x v="2"/>
    <n v="14.5"/>
    <n v="14.1"/>
    <n v="0.40000000000000036"/>
    <n v="2.7586206896551748"/>
    <n v="41.8"/>
    <n v="40.4"/>
    <n v="1.3999999999999986"/>
    <n v="3.3492822966507143"/>
    <n v="355"/>
    <n v="265"/>
    <n v="90"/>
    <n v="25.352112676056336"/>
    <n v="10.5"/>
    <n v="10.8"/>
    <n v="-0.30000000000000071"/>
    <n v="12.4"/>
    <n v="12.9"/>
    <n v="-0.5"/>
    <n v="3225"/>
    <n v="77"/>
    <n v="75"/>
    <n v="340"/>
    <n v="1172"/>
    <n v="3.98"/>
    <n v="3"/>
    <n v="40"/>
    <n v="5.2999999999999999E-2"/>
  </r>
  <r>
    <n v="48"/>
    <x v="1"/>
    <n v="31"/>
    <s v="30-34"/>
    <x v="8"/>
    <x v="3"/>
    <n v="15"/>
    <n v="14.6"/>
    <n v="0.40000000000000036"/>
    <n v="2.6666666666666687"/>
    <n v="43.2"/>
    <n v="41.7"/>
    <n v="1.5"/>
    <n v="3.4722222222222219"/>
    <n v="296"/>
    <n v="208"/>
    <n v="88"/>
    <n v="29.72972972972973"/>
    <n v="9.6"/>
    <n v="10"/>
    <n v="-0.40000000000000036"/>
    <n v="11.5"/>
    <n v="12.4"/>
    <n v="-0.90000000000000036"/>
    <n v="2895"/>
    <n v="75"/>
    <n v="71"/>
    <n v="336"/>
    <n v="1136"/>
    <n v="3.81"/>
    <n v="3"/>
    <n v="52"/>
    <n v="5.2999999999999999E-2"/>
  </r>
  <r>
    <n v="49"/>
    <x v="1"/>
    <n v="27"/>
    <s v="25-29"/>
    <x v="11"/>
    <x v="10"/>
    <n v="14.8"/>
    <n v="14.5"/>
    <n v="0.30000000000000071"/>
    <n v="2.0270270270270316"/>
    <n v="42.6"/>
    <n v="41.8"/>
    <n v="0.80000000000000426"/>
    <n v="1.8779342723004795"/>
    <n v="330"/>
    <n v="225"/>
    <n v="105"/>
    <n v="31.818181818181817"/>
    <n v="10.3"/>
    <n v="10.5"/>
    <n v="-0.19999999999999929"/>
    <n v="12.1"/>
    <n v="12.6"/>
    <n v="-0.5"/>
    <n v="3005"/>
    <n v="78"/>
    <n v="73"/>
    <n v="333"/>
    <n v="1118"/>
    <n v="3.72"/>
    <n v="3"/>
    <n v="45"/>
    <n v="0.05"/>
  </r>
  <r>
    <n v="50"/>
    <x v="1"/>
    <n v="32"/>
    <s v="30-34"/>
    <x v="24"/>
    <x v="6"/>
    <n v="15.6"/>
    <n v="15.1"/>
    <n v="0.5"/>
    <n v="3.2051282051282057"/>
    <n v="45.2"/>
    <n v="43.6"/>
    <n v="1.6000000000000014"/>
    <n v="3.5398230088495604"/>
    <n v="288"/>
    <n v="200"/>
    <n v="88"/>
    <n v="30.555555555555557"/>
    <n v="10.199999999999999"/>
    <n v="10.6"/>
    <n v="-0.40000000000000036"/>
    <n v="11.5"/>
    <n v="12.7"/>
    <n v="-1.1999999999999993"/>
    <n v="3120"/>
    <n v="75"/>
    <n v="74"/>
    <n v="335"/>
    <n v="1145"/>
    <n v="3.83"/>
    <n v="3"/>
    <n v="50"/>
    <n v="5.0999999999999997E-2"/>
  </r>
  <r>
    <n v="51"/>
    <x v="1"/>
    <n v="25"/>
    <s v="25-29"/>
    <x v="18"/>
    <x v="15"/>
    <n v="14.4"/>
    <n v="14.1"/>
    <n v="0.30000000000000071"/>
    <n v="2.0833333333333379"/>
    <n v="41.9"/>
    <n v="40.5"/>
    <n v="1.3999999999999986"/>
    <n v="3.3412887828162257"/>
    <n v="342"/>
    <n v="240"/>
    <n v="102"/>
    <n v="29.82456140350877"/>
    <n v="9.9"/>
    <n v="10.199999999999999"/>
    <n v="-0.29999999999999893"/>
    <n v="12"/>
    <n v="12.8"/>
    <n v="-0.80000000000000071"/>
    <n v="2980"/>
    <n v="76"/>
    <n v="71"/>
    <n v="328"/>
    <n v="1092"/>
    <n v="3.58"/>
    <n v="3"/>
    <n v="41"/>
    <n v="0.05"/>
  </r>
  <r>
    <n v="52"/>
    <x v="1"/>
    <n v="36"/>
    <s v="35-39"/>
    <x v="15"/>
    <x v="16"/>
    <n v="15"/>
    <n v="14.6"/>
    <n v="0.40000000000000036"/>
    <n v="2.6666666666666687"/>
    <n v="43.6"/>
    <n v="42.2"/>
    <n v="1.3999999999999986"/>
    <n v="3.2110091743119233"/>
    <n v="277"/>
    <n v="190"/>
    <n v="87"/>
    <n v="31.40794223826715"/>
    <n v="10.4"/>
    <n v="10.7"/>
    <n v="-0.29999999999999893"/>
    <n v="10.9"/>
    <n v="11.5"/>
    <n v="-0.59999999999999964"/>
    <n v="3255"/>
    <n v="74"/>
    <n v="76"/>
    <n v="338"/>
    <n v="1160"/>
    <n v="3.92"/>
    <n v="3"/>
    <n v="52"/>
    <n v="5.0999999999999997E-2"/>
  </r>
  <r>
    <n v="53"/>
    <x v="1"/>
    <n v="28"/>
    <s v="25-29"/>
    <x v="14"/>
    <x v="0"/>
    <n v="14.2"/>
    <n v="13.9"/>
    <n v="0.29999999999999893"/>
    <n v="2.1126760563380209"/>
    <n v="40.799999999999997"/>
    <n v="39.6"/>
    <n v="1.1999999999999957"/>
    <n v="2.9411764705882253"/>
    <n v="305"/>
    <n v="215"/>
    <n v="90"/>
    <n v="29.508196721311474"/>
    <n v="9.6999999999999993"/>
    <n v="10.1"/>
    <n v="-0.40000000000000036"/>
    <n v="11.2"/>
    <n v="12"/>
    <n v="-0.80000000000000071"/>
    <n v="2890"/>
    <n v="78"/>
    <n v="70"/>
    <n v="330"/>
    <n v="1103"/>
    <n v="3.63"/>
    <n v="3"/>
    <n v="48"/>
    <n v="5.0999999999999997E-2"/>
  </r>
  <r>
    <n v="54"/>
    <x v="1"/>
    <n v="24"/>
    <s v="20-24"/>
    <x v="5"/>
    <x v="3"/>
    <n v="14.9"/>
    <n v="14.4"/>
    <n v="0.5"/>
    <n v="3.3557046979865772"/>
    <n v="42.7"/>
    <n v="41.5"/>
    <n v="1.2000000000000028"/>
    <n v="2.8103044496487186"/>
    <n v="315"/>
    <n v="218"/>
    <n v="97"/>
    <n v="30.793650793650794"/>
    <n v="9.5"/>
    <n v="9.8000000000000007"/>
    <n v="-0.30000000000000071"/>
    <n v="10.7"/>
    <n v="11.4"/>
    <n v="-0.70000000000000107"/>
    <n v="3000"/>
    <n v="77"/>
    <n v="72"/>
    <n v="332"/>
    <n v="1116"/>
    <n v="3.7"/>
    <n v="3"/>
    <n v="46"/>
    <n v="5.0999999999999997E-2"/>
  </r>
  <r>
    <n v="55"/>
    <x v="1"/>
    <n v="33"/>
    <s v="30-34"/>
    <x v="23"/>
    <x v="5"/>
    <n v="15.5"/>
    <n v="15"/>
    <n v="0.5"/>
    <n v="3.225806451612903"/>
    <n v="44.9"/>
    <n v="43.3"/>
    <n v="1.6000000000000014"/>
    <n v="3.563474387527843"/>
    <n v="298"/>
    <n v="207"/>
    <n v="91"/>
    <n v="30.536912751677853"/>
    <n v="10"/>
    <n v="10.3"/>
    <n v="-0.30000000000000071"/>
    <n v="11.8"/>
    <n v="12.6"/>
    <n v="-0.79999999999999893"/>
    <n v="3180"/>
    <n v="75"/>
    <n v="75"/>
    <n v="337"/>
    <n v="1154"/>
    <n v="3.88"/>
    <n v="3"/>
    <n v="48"/>
    <n v="5.0999999999999997E-2"/>
  </r>
  <r>
    <n v="56"/>
    <x v="1"/>
    <n v="26"/>
    <s v="25-29"/>
    <x v="2"/>
    <x v="3"/>
    <n v="14.7"/>
    <n v="14.4"/>
    <n v="0.29999999999999893"/>
    <n v="2.0408163265306052"/>
    <n v="43.2"/>
    <n v="41.8"/>
    <n v="1.4000000000000057"/>
    <n v="3.2407407407407538"/>
    <n v="360"/>
    <n v="265"/>
    <n v="95"/>
    <n v="26.388888888888889"/>
    <n v="10.5"/>
    <n v="10.8"/>
    <n v="-0.30000000000000071"/>
    <n v="12.5"/>
    <n v="13.1"/>
    <n v="-0.59999999999999964"/>
    <n v="3325"/>
    <n v="76"/>
    <n v="78"/>
    <n v="343"/>
    <n v="1203"/>
    <n v="4.12"/>
    <n v="3"/>
    <n v="40"/>
    <n v="5.1999999999999998E-2"/>
  </r>
  <r>
    <n v="57"/>
    <x v="1"/>
    <n v="38"/>
    <s v="35-39"/>
    <x v="19"/>
    <x v="15"/>
    <n v="14.3"/>
    <n v="14"/>
    <n v="0.30000000000000071"/>
    <n v="2.0979020979021028"/>
    <n v="41.3"/>
    <n v="39.9"/>
    <n v="1.3999999999999986"/>
    <n v="3.3898305084745726"/>
    <n v="287"/>
    <n v="202"/>
    <n v="85"/>
    <n v="29.616724738675959"/>
    <n v="9.6"/>
    <n v="10"/>
    <n v="-0.40000000000000036"/>
    <n v="11.1"/>
    <n v="12.2"/>
    <n v="-1.0999999999999996"/>
    <n v="2950"/>
    <n v="75"/>
    <n v="70"/>
    <n v="329"/>
    <n v="1108"/>
    <n v="3.64"/>
    <n v="3"/>
    <n v="50"/>
    <n v="5.1999999999999998E-2"/>
  </r>
  <r>
    <n v="58"/>
    <x v="1"/>
    <n v="29"/>
    <s v="25-29"/>
    <x v="8"/>
    <x v="11"/>
    <n v="15"/>
    <n v="14.5"/>
    <n v="0.5"/>
    <n v="3.3333333333333335"/>
    <n v="42.9"/>
    <n v="41.3"/>
    <n v="1.6000000000000014"/>
    <n v="3.729603729603733"/>
    <n v="335"/>
    <n v="230"/>
    <n v="105"/>
    <n v="31.343283582089555"/>
    <n v="10.199999999999999"/>
    <n v="10.5"/>
    <n v="-0.30000000000000071"/>
    <n v="12.2"/>
    <n v="12.9"/>
    <n v="-0.70000000000000107"/>
    <n v="3060"/>
    <n v="75"/>
    <n v="80"/>
    <n v="334"/>
    <n v="1137"/>
    <n v="3.79"/>
    <n v="3"/>
    <n v="44"/>
    <n v="0.47"/>
  </r>
  <r>
    <n v="59"/>
    <x v="1"/>
    <n v="30"/>
    <s v="30-34"/>
    <x v="9"/>
    <x v="12"/>
    <n v="15.1"/>
    <n v="14.3"/>
    <n v="0.79999999999999893"/>
    <n v="5.2980132450331059"/>
    <n v="44.1"/>
    <n v="42.2"/>
    <n v="1.8999999999999986"/>
    <n v="4.3083900226757335"/>
    <n v="299"/>
    <n v="208"/>
    <n v="91"/>
    <n v="30.434782608695656"/>
    <n v="10.1"/>
    <n v="10.5"/>
    <n v="-0.40000000000000036"/>
    <n v="11.6"/>
    <n v="12.6"/>
    <n v="-1"/>
    <n v="3195"/>
    <n v="75"/>
    <n v="77"/>
    <n v="340"/>
    <n v="1180"/>
    <n v="4.01"/>
    <n v="3"/>
    <n v="50"/>
    <n v="5.1999999999999998E-2"/>
  </r>
  <r>
    <n v="60"/>
    <x v="1"/>
    <n v="29"/>
    <s v="25-29"/>
    <x v="8"/>
    <x v="11"/>
    <n v="14.7"/>
    <n v="14.4"/>
    <n v="0.29999999999999893"/>
    <n v="2.0408163265306052"/>
    <n v="41.9"/>
    <n v="40.5"/>
    <n v="1.3999999999999986"/>
    <n v="3.3412887828162257"/>
    <n v="277"/>
    <n v="190"/>
    <n v="87"/>
    <n v="31.40794223826715"/>
    <n v="9.9"/>
    <n v="10.6"/>
    <n v="-0.69999999999999929"/>
    <n v="11.5"/>
    <n v="12.4"/>
    <n v="-0.90000000000000036"/>
    <n v="3325"/>
    <n v="75"/>
    <n v="72"/>
    <n v="340"/>
    <n v="1160"/>
    <n v="3.94"/>
    <n v="3"/>
    <n v="51"/>
    <n v="5.3999999999999999E-2"/>
  </r>
  <r>
    <n v="61"/>
    <x v="2"/>
    <n v="36"/>
    <s v="35-39"/>
    <x v="15"/>
    <x v="3"/>
    <n v="14.2"/>
    <n v="13.9"/>
    <n v="0.29999999999999893"/>
    <n v="2.1126760563380209"/>
    <n v="42.4"/>
    <n v="41.2"/>
    <n v="1.1999999999999957"/>
    <n v="2.8301886792452731"/>
    <n v="330"/>
    <n v="274"/>
    <n v="56"/>
    <n v="16.969696969696972"/>
    <n v="8.3000000000000007"/>
    <n v="8.8000000000000007"/>
    <n v="-0.5"/>
    <n v="9.6"/>
    <n v="10.5"/>
    <n v="-0.90000000000000036"/>
    <n v="1892"/>
    <n v="96"/>
    <n v="39"/>
    <n v="261"/>
    <n v="1560"/>
    <n v="4.07"/>
    <n v="3"/>
    <n v="89.38"/>
    <n v="0.1"/>
  </r>
  <r>
    <n v="62"/>
    <x v="2"/>
    <n v="30"/>
    <s v="30-34"/>
    <x v="8"/>
    <x v="17"/>
    <n v="15.3"/>
    <n v="14.8"/>
    <n v="0.5"/>
    <n v="3.2679738562091507"/>
    <n v="41.7"/>
    <n v="41"/>
    <n v="0.70000000000000284"/>
    <n v="1.6786570743405342"/>
    <n v="174"/>
    <n v="125"/>
    <n v="49"/>
    <n v="28.160919540229884"/>
    <n v="11.8"/>
    <n v="12.6"/>
    <n v="-0.79999999999999893"/>
    <n v="17.7"/>
    <n v="18.5"/>
    <n v="-0.80000000000000071"/>
    <n v="3598"/>
    <n v="92"/>
    <n v="77"/>
    <n v="262"/>
    <n v="1466"/>
    <n v="3.84"/>
    <n v="3"/>
    <n v="70.47"/>
    <n v="4.9000000000000002E-2"/>
  </r>
  <r>
    <n v="63"/>
    <x v="2"/>
    <n v="29"/>
    <s v="25-29"/>
    <x v="2"/>
    <x v="11"/>
    <n v="14.3"/>
    <n v="14.8"/>
    <n v="-0.5"/>
    <n v="-3.4965034965034962"/>
    <n v="42"/>
    <n v="43.1"/>
    <n v="-1.1000000000000014"/>
    <n v="-2.6190476190476226"/>
    <n v="252"/>
    <n v="164"/>
    <n v="88"/>
    <n v="34.920634920634917"/>
    <n v="11.9"/>
    <n v="11.9"/>
    <n v="0"/>
    <n v="16.100000000000001"/>
    <n v="17.3"/>
    <n v="-1.1999999999999993"/>
    <n v="2428"/>
    <n v="100"/>
    <n v="48"/>
    <n v="263"/>
    <n v="1738"/>
    <n v="4.57"/>
    <n v="3"/>
    <n v="96.79"/>
    <n v="9.5000000000000001E-2"/>
  </r>
  <r>
    <n v="64"/>
    <x v="2"/>
    <n v="26"/>
    <s v="25-29"/>
    <x v="25"/>
    <x v="2"/>
    <n v="14.6"/>
    <n v="14"/>
    <n v="0.59999999999999964"/>
    <n v="4.1095890410958882"/>
    <n v="39.4"/>
    <n v="38.200000000000003"/>
    <n v="1.1999999999999957"/>
    <n v="3.0456852791878064"/>
    <n v="215"/>
    <n v="166"/>
    <n v="49"/>
    <n v="22.790697674418606"/>
    <n v="8.8000000000000007"/>
    <n v="9.5"/>
    <n v="-0.69999999999999929"/>
    <n v="9.5"/>
    <n v="10.7"/>
    <n v="-1.1999999999999993"/>
    <n v="2842"/>
    <n v="92"/>
    <n v="61"/>
    <n v="260"/>
    <n v="1590"/>
    <n v="4.13"/>
    <n v="3"/>
    <n v="79.83"/>
    <n v="6.7000000000000004E-2"/>
  </r>
  <r>
    <n v="65"/>
    <x v="2"/>
    <n v="25"/>
    <s v="25-29"/>
    <x v="6"/>
    <x v="2"/>
    <n v="15.9"/>
    <n v="15.1"/>
    <n v="0.80000000000000071"/>
    <n v="5.0314465408805074"/>
    <n v="47.6"/>
    <n v="45.5"/>
    <n v="2.1000000000000014"/>
    <n v="4.4117647058823559"/>
    <n v="310"/>
    <n v="242"/>
    <n v="68"/>
    <n v="21.935483870967744"/>
    <n v="10"/>
    <n v="10.3"/>
    <n v="-0.30000000000000071"/>
    <n v="13.4"/>
    <n v="13.5"/>
    <n v="-9.9999999999999645E-2"/>
    <n v="1625"/>
    <n v="82"/>
    <n v="39"/>
    <n v="262"/>
    <n v="1238"/>
    <n v="3.24"/>
    <n v="2"/>
    <n v="76.69"/>
    <n v="8.3000000000000004E-2"/>
  </r>
  <r>
    <n v="66"/>
    <x v="2"/>
    <n v="26"/>
    <s v="25-29"/>
    <x v="2"/>
    <x v="1"/>
    <n v="14.7"/>
    <n v="14.2"/>
    <n v="0.5"/>
    <n v="3.4013605442176873"/>
    <n v="43.5"/>
    <n v="42.7"/>
    <n v="0.79999999999999716"/>
    <n v="1.8390804597701083"/>
    <n v="231"/>
    <n v="178"/>
    <n v="53"/>
    <n v="22.943722943722943"/>
    <n v="11.8"/>
    <n v="12.3"/>
    <n v="-0.5"/>
    <n v="17.2"/>
    <n v="18"/>
    <n v="-0.80000000000000071"/>
    <n v="2578"/>
    <n v="98"/>
    <n v="52"/>
    <n v="260"/>
    <n v="1682"/>
    <n v="4.37"/>
    <n v="3"/>
    <n v="97.11"/>
    <n v="8.4000000000000005E-2"/>
  </r>
  <r>
    <n v="67"/>
    <x v="2"/>
    <n v="24"/>
    <s v="20-24"/>
    <x v="16"/>
    <x v="4"/>
    <n v="12.7"/>
    <n v="12.3"/>
    <n v="0.39999999999999858"/>
    <n v="3.1496062992125875"/>
    <n v="38.299999999999997"/>
    <n v="37.5"/>
    <n v="0.79999999999999716"/>
    <n v="2.0887728459529953"/>
    <n v="325"/>
    <n v="262"/>
    <n v="63"/>
    <n v="19.384615384615383"/>
    <n v="9.6"/>
    <n v="9.4"/>
    <n v="0.19999999999999929"/>
    <n v="11"/>
    <n v="11.4"/>
    <n v="-0.40000000000000036"/>
    <n v="1909"/>
    <n v="96"/>
    <n v="39"/>
    <n v="283"/>
    <n v="1524"/>
    <n v="4.3099999999999996"/>
    <n v="3"/>
    <n v="89.09"/>
    <n v="0.11"/>
  </r>
  <r>
    <n v="68"/>
    <x v="2"/>
    <n v="28"/>
    <s v="25-29"/>
    <x v="26"/>
    <x v="5"/>
    <n v="15.2"/>
    <n v="14.7"/>
    <n v="0.5"/>
    <n v="3.2894736842105261"/>
    <n v="45.5"/>
    <n v="44.9"/>
    <n v="0.60000000000000142"/>
    <n v="1.3186813186813218"/>
    <n v="306"/>
    <n v="264"/>
    <n v="42"/>
    <n v="13.725490196078432"/>
    <n v="9.5"/>
    <n v="9.9"/>
    <n v="-0.40000000000000036"/>
    <n v="11"/>
    <n v="12.6"/>
    <n v="-1.5999999999999996"/>
    <n v="1991"/>
    <n v="98"/>
    <n v="40"/>
    <n v="282"/>
    <n v="1563"/>
    <n v="4.4000000000000004"/>
    <n v="3"/>
    <n v="82.06"/>
    <n v="0.11"/>
  </r>
  <r>
    <n v="69"/>
    <x v="2"/>
    <n v="21"/>
    <s v="20-24"/>
    <x v="27"/>
    <x v="18"/>
    <n v="15.4"/>
    <n v="15.1"/>
    <n v="0.30000000000000071"/>
    <n v="1.9480519480519525"/>
    <n v="46.1"/>
    <n v="44.8"/>
    <n v="1.3000000000000043"/>
    <n v="2.8199566160520702"/>
    <n v="316"/>
    <n v="208"/>
    <n v="108"/>
    <n v="34.177215189873415"/>
    <n v="7.4"/>
    <n v="7.7"/>
    <n v="-0.29999999999999982"/>
    <n v="7.9"/>
    <n v="8.1"/>
    <n v="-0.19999999999999929"/>
    <n v="2011"/>
    <n v="88"/>
    <n v="45"/>
    <n v="262"/>
    <n v="1699"/>
    <n v="4.45"/>
    <n v="3"/>
    <n v="97.94"/>
    <n v="0.09"/>
  </r>
  <r>
    <n v="70"/>
    <x v="2"/>
    <n v="42"/>
    <s v="40-44"/>
    <x v="10"/>
    <x v="1"/>
    <n v="12.8"/>
    <n v="12"/>
    <n v="0.80000000000000071"/>
    <n v="6.2500000000000053"/>
    <n v="40.5"/>
    <n v="39"/>
    <n v="1.5"/>
    <n v="3.7037037037037033"/>
    <n v="331"/>
    <n v="273"/>
    <n v="58"/>
    <n v="17.522658610271904"/>
    <n v="9.1999999999999993"/>
    <n v="9.6"/>
    <n v="-0.40000000000000036"/>
    <n v="10.7"/>
    <n v="11"/>
    <n v="-0.30000000000000071"/>
    <n v="1881"/>
    <n v="94"/>
    <n v="40"/>
    <n v="260"/>
    <n v="1791"/>
    <n v="4.6500000000000004"/>
    <n v="3"/>
    <n v="98.39"/>
    <n v="0.11"/>
  </r>
  <r>
    <n v="71"/>
    <x v="2"/>
    <n v="32"/>
    <s v="30-34"/>
    <x v="10"/>
    <x v="0"/>
    <n v="15"/>
    <n v="14.5"/>
    <n v="0.5"/>
    <n v="3.3333333333333335"/>
    <n v="42"/>
    <n v="41"/>
    <n v="1"/>
    <n v="2.3809523809523809"/>
    <n v="260"/>
    <n v="200"/>
    <n v="60"/>
    <n v="23.076923076923077"/>
    <n v="10.5"/>
    <n v="11"/>
    <n v="-0.5"/>
    <n v="12"/>
    <n v="12.5"/>
    <n v="-0.5"/>
    <n v="2500"/>
    <n v="82"/>
    <n v="60"/>
    <n v="270"/>
    <n v="1500"/>
    <n v="3.9"/>
    <n v="3"/>
    <n v="78"/>
    <n v="6.5000000000000002E-2"/>
  </r>
  <r>
    <n v="72"/>
    <x v="2"/>
    <n v="29"/>
    <s v="25-29"/>
    <x v="19"/>
    <x v="17"/>
    <n v="14.8"/>
    <n v="14.2"/>
    <n v="0.60000000000000142"/>
    <n v="4.0540540540540633"/>
    <n v="40.5"/>
    <n v="39.5"/>
    <n v="1"/>
    <n v="2.4691358024691357"/>
    <n v="240"/>
    <n v="180"/>
    <n v="60"/>
    <n v="25"/>
    <n v="9.8000000000000007"/>
    <n v="10.199999999999999"/>
    <n v="-0.39999999999999858"/>
    <n v="11.5"/>
    <n v="12"/>
    <n v="-0.5"/>
    <n v="2600"/>
    <n v="82"/>
    <n v="62"/>
    <n v="265"/>
    <n v="1550"/>
    <n v="4.0999999999999996"/>
    <n v="3"/>
    <n v="80.5"/>
    <n v="0.06"/>
  </r>
  <r>
    <n v="73"/>
    <x v="2"/>
    <n v="35"/>
    <s v="35-39"/>
    <x v="23"/>
    <x v="4"/>
    <n v="15.5"/>
    <n v="15"/>
    <n v="0.5"/>
    <n v="3.225806451612903"/>
    <n v="43"/>
    <n v="42"/>
    <n v="1"/>
    <n v="2.3255813953488373"/>
    <n v="280"/>
    <n v="220"/>
    <n v="60"/>
    <n v="21.428571428571427"/>
    <n v="10.199999999999999"/>
    <n v="10.7"/>
    <n v="-0.5"/>
    <n v="13"/>
    <n v="13.5"/>
    <n v="-0.5"/>
    <n v="2700"/>
    <n v="82"/>
    <n v="65"/>
    <n v="275"/>
    <n v="1600"/>
    <n v="4.2"/>
    <n v="3"/>
    <n v="81"/>
    <n v="6.4000000000000001E-2"/>
  </r>
  <r>
    <n v="74"/>
    <x v="2"/>
    <n v="27"/>
    <s v="25-29"/>
    <x v="17"/>
    <x v="2"/>
    <n v="14.9"/>
    <n v="14.4"/>
    <n v="0.5"/>
    <n v="3.3557046979865772"/>
    <n v="41"/>
    <n v="40"/>
    <n v="1"/>
    <n v="2.4390243902439024"/>
    <n v="250"/>
    <n v="190"/>
    <n v="60"/>
    <n v="24"/>
    <n v="9.5"/>
    <n v="10"/>
    <n v="-0.5"/>
    <n v="10.5"/>
    <n v="11"/>
    <n v="-0.5"/>
    <n v="2550"/>
    <n v="86"/>
    <n v="58"/>
    <n v="260"/>
    <n v="1450"/>
    <n v="3.8"/>
    <n v="3"/>
    <n v="77.5"/>
    <n v="6.5000000000000002E-2"/>
  </r>
  <r>
    <n v="75"/>
    <x v="2"/>
    <n v="31"/>
    <s v="30-34"/>
    <x v="5"/>
    <x v="1"/>
    <n v="15.2"/>
    <n v="14.7"/>
    <n v="0.5"/>
    <n v="3.2894736842105261"/>
    <n v="42.5"/>
    <n v="41.5"/>
    <n v="1"/>
    <n v="2.3529411764705883"/>
    <n v="270"/>
    <n v="210"/>
    <n v="60"/>
    <n v="22.222222222222221"/>
    <n v="10"/>
    <n v="10.5"/>
    <n v="-0.5"/>
    <n v="12.5"/>
    <n v="13"/>
    <n v="-0.5"/>
    <n v="2650"/>
    <n v="84"/>
    <n v="63"/>
    <n v="268"/>
    <n v="1520"/>
    <n v="4"/>
    <n v="3"/>
    <n v="79"/>
    <n v="0.06"/>
  </r>
  <r>
    <n v="76"/>
    <x v="2"/>
    <n v="31"/>
    <s v="30-34"/>
    <x v="10"/>
    <x v="15"/>
    <n v="14.7"/>
    <n v="14.3"/>
    <n v="0.39999999999999858"/>
    <n v="2.7210884353741402"/>
    <n v="42.1"/>
    <n v="41.5"/>
    <n v="0.60000000000000142"/>
    <n v="1.425178147268412"/>
    <n v="210"/>
    <n v="165"/>
    <n v="45"/>
    <n v="21.428571428571427"/>
    <n v="10.199999999999999"/>
    <n v="11"/>
    <n v="-0.80000000000000071"/>
    <n v="15"/>
    <n v="16.2"/>
    <n v="-1.1999999999999993"/>
    <n v="2890"/>
    <n v="90"/>
    <n v="63"/>
    <n v="263"/>
    <n v="1510"/>
    <n v="4.05"/>
    <n v="3"/>
    <n v="77.5"/>
    <n v="6.4000000000000001E-2"/>
  </r>
  <r>
    <n v="77"/>
    <x v="2"/>
    <n v="29"/>
    <s v="25-29"/>
    <x v="23"/>
    <x v="9"/>
    <n v="15.4"/>
    <n v="14.8"/>
    <n v="0.59999999999999964"/>
    <n v="3.8961038961038938"/>
    <n v="43.5"/>
    <n v="42"/>
    <n v="1.5"/>
    <n v="3.4482758620689653"/>
    <n v="250"/>
    <n v="200"/>
    <n v="50"/>
    <n v="20"/>
    <n v="9.5"/>
    <n v="10.5"/>
    <n v="-1"/>
    <n v="13.5"/>
    <n v="14"/>
    <n v="-0.5"/>
    <n v="3000"/>
    <n v="84"/>
    <n v="70"/>
    <n v="270"/>
    <n v="1445"/>
    <n v="3.8"/>
    <n v="3"/>
    <n v="75.8"/>
    <n v="0.05"/>
  </r>
  <r>
    <n v="78"/>
    <x v="2"/>
    <n v="27"/>
    <s v="25-29"/>
    <x v="8"/>
    <x v="11"/>
    <n v="15.1"/>
    <n v="14.6"/>
    <n v="0.5"/>
    <n v="3.3112582781456954"/>
    <n v="40.5"/>
    <n v="41.2"/>
    <n v="-0.70000000000000284"/>
    <n v="-1.7283950617284023"/>
    <n v="185"/>
    <n v="145"/>
    <n v="40"/>
    <n v="21.621621621621621"/>
    <n v="10.8"/>
    <n v="10.8"/>
    <n v="0"/>
    <n v="12.2"/>
    <n v="13.5"/>
    <n v="-1.3000000000000007"/>
    <n v="3200"/>
    <n v="54"/>
    <n v="59"/>
    <n v="258"/>
    <n v="1400"/>
    <n v="4.2"/>
    <n v="3"/>
    <n v="78.3"/>
    <n v="7.0999999999999994E-2"/>
  </r>
  <r>
    <n v="79"/>
    <x v="2"/>
    <n v="32"/>
    <s v="30-34"/>
    <x v="25"/>
    <x v="17"/>
    <n v="14.9"/>
    <n v="14.5"/>
    <n v="0.40000000000000036"/>
    <n v="2.6845637583892641"/>
    <n v="44.2"/>
    <n v="43.5"/>
    <n v="0.70000000000000284"/>
    <n v="1.5837104072398251"/>
    <n v="220"/>
    <n v="175"/>
    <n v="45"/>
    <n v="20.454545454545457"/>
    <n v="10"/>
    <n v="10.1"/>
    <n v="-9.9999999999999645E-2"/>
    <n v="14"/>
    <n v="14.7"/>
    <n v="-0.69999999999999929"/>
    <n v="3100"/>
    <n v="92"/>
    <n v="66"/>
    <n v="265"/>
    <n v="1550"/>
    <n v="4"/>
    <n v="3"/>
    <n v="79"/>
    <n v="0.06"/>
  </r>
  <r>
    <n v="80"/>
    <x v="2"/>
    <n v="28"/>
    <s v="25-29"/>
    <x v="19"/>
    <x v="18"/>
    <n v="15"/>
    <n v="14.2"/>
    <n v="0.80000000000000071"/>
    <n v="5.3333333333333375"/>
    <n v="41.5"/>
    <n v="41"/>
    <n v="0.5"/>
    <n v="1.2048192771084338"/>
    <n v="240"/>
    <n v="160"/>
    <n v="80"/>
    <n v="33.333333333333329"/>
    <n v="9.9"/>
    <n v="10.4"/>
    <n v="-0.5"/>
    <n v="13.5"/>
    <n v="13.8"/>
    <n v="-0.30000000000000071"/>
    <n v="2700"/>
    <n v="86"/>
    <n v="62"/>
    <n v="272"/>
    <n v="1600"/>
    <n v="3.95"/>
    <n v="3"/>
    <n v="76.8"/>
    <n v="6.3E-2"/>
  </r>
  <r>
    <n v="81"/>
    <x v="2"/>
    <n v="34"/>
    <s v="30-34"/>
    <x v="17"/>
    <x v="0"/>
    <n v="14.6"/>
    <n v="14.7"/>
    <n v="-9.9999999999999645E-2"/>
    <n v="-0.6849315068493127"/>
    <n v="43"/>
    <n v="42.3"/>
    <n v="0.70000000000000284"/>
    <n v="1.6279069767441927"/>
    <n v="215"/>
    <n v="180"/>
    <n v="35"/>
    <n v="16.279069767441861"/>
    <n v="10.1"/>
    <n v="11"/>
    <n v="-0.90000000000000036"/>
    <n v="12.5"/>
    <n v="14.2"/>
    <n v="-1.6999999999999993"/>
    <n v="2950"/>
    <n v="86"/>
    <n v="68"/>
    <n v="265"/>
    <n v="1500"/>
    <n v="3.8"/>
    <n v="3"/>
    <n v="78.5"/>
    <n v="5.5E-2"/>
  </r>
  <r>
    <n v="82"/>
    <x v="2"/>
    <n v="29"/>
    <s v="25-29"/>
    <x v="6"/>
    <x v="3"/>
    <n v="15.3"/>
    <n v="14.6"/>
    <n v="0.70000000000000107"/>
    <n v="4.5751633986928173"/>
    <n v="42.8"/>
    <n v="42.4"/>
    <n v="0.39999999999999858"/>
    <n v="0.93457943925233322"/>
    <n v="230"/>
    <n v="155"/>
    <n v="75"/>
    <n v="32.608695652173914"/>
    <n v="10.3"/>
    <n v="10.9"/>
    <n v="-0.59999999999999964"/>
    <n v="14"/>
    <n v="14.5"/>
    <n v="-0.5"/>
    <n v="2850"/>
    <n v="80"/>
    <n v="71"/>
    <n v="280"/>
    <n v="1480"/>
    <n v="4.1500000000000004"/>
    <n v="3"/>
    <n v="80"/>
    <n v="0.05"/>
  </r>
  <r>
    <n v="83"/>
    <x v="2"/>
    <n v="25"/>
    <s v="25-29"/>
    <x v="11"/>
    <x v="6"/>
    <n v="14.7"/>
    <n v="14.8"/>
    <n v="-0.10000000000000142"/>
    <n v="-0.68027210884354705"/>
    <n v="44.3"/>
    <n v="44"/>
    <n v="0.29999999999999716"/>
    <n v="0.67720090293453095"/>
    <n v="200"/>
    <n v="145"/>
    <n v="55"/>
    <n v="27.500000000000004"/>
    <n v="10.199999999999999"/>
    <n v="11.2"/>
    <n v="-1"/>
    <n v="13"/>
    <n v="15"/>
    <n v="-2"/>
    <n v="3150"/>
    <n v="96"/>
    <n v="65"/>
    <n v="275"/>
    <n v="1530"/>
    <n v="4.0999999999999996"/>
    <n v="3"/>
    <n v="77"/>
    <n v="6.3E-2"/>
  </r>
  <r>
    <n v="84"/>
    <x v="2"/>
    <n v="33"/>
    <s v="30-34"/>
    <x v="5"/>
    <x v="4"/>
    <n v="15"/>
    <n v="14.4"/>
    <n v="0.59999999999999964"/>
    <n v="3.9999999999999973"/>
    <n v="41.8"/>
    <n v="41.7"/>
    <n v="9.9999999999994316E-2"/>
    <n v="0.23923444976075198"/>
    <n v="265"/>
    <n v="215"/>
    <n v="50"/>
    <n v="18.867924528301888"/>
    <n v="9.6999999999999993"/>
    <n v="10.6"/>
    <n v="-0.90000000000000036"/>
    <n v="12.5"/>
    <n v="14.3"/>
    <n v="-1.8000000000000007"/>
    <n v="3300"/>
    <n v="110"/>
    <n v="60"/>
    <n v="265"/>
    <n v="1520"/>
    <n v="4"/>
    <n v="3"/>
    <n v="75.5"/>
    <n v="6.6000000000000003E-2"/>
  </r>
  <r>
    <n v="85"/>
    <x v="2"/>
    <n v="30"/>
    <s v="30-34"/>
    <x v="23"/>
    <x v="8"/>
    <n v="14.8"/>
    <n v="14"/>
    <n v="0.80000000000000071"/>
    <n v="5.4054054054054097"/>
    <n v="40.700000000000003"/>
    <n v="39.9"/>
    <n v="0.80000000000000426"/>
    <n v="1.9656019656019759"/>
    <n v="245"/>
    <n v="195"/>
    <n v="50"/>
    <n v="20.408163265306122"/>
    <n v="10"/>
    <n v="10.8"/>
    <n v="-0.80000000000000071"/>
    <n v="14"/>
    <n v="13.7"/>
    <n v="0.30000000000000071"/>
    <n v="2650"/>
    <n v="92"/>
    <n v="57"/>
    <n v="259"/>
    <n v="1590"/>
    <n v="4.25"/>
    <n v="3"/>
    <n v="79.3"/>
    <n v="7.3999999999999996E-2"/>
  </r>
  <r>
    <n v="86"/>
    <x v="2"/>
    <n v="26"/>
    <s v="25-29"/>
    <x v="2"/>
    <x v="15"/>
    <n v="14.9"/>
    <n v="14.6"/>
    <n v="0.30000000000000071"/>
    <n v="2.013422818791951"/>
    <n v="43.2"/>
    <n v="42.6"/>
    <n v="0.60000000000000142"/>
    <n v="1.3888888888888922"/>
    <n v="220"/>
    <n v="190"/>
    <n v="30"/>
    <n v="13.636363636363635"/>
    <n v="9.9"/>
    <n v="10.4"/>
    <n v="-0.5"/>
    <n v="13.8"/>
    <n v="14.1"/>
    <n v="-0.29999999999999893"/>
    <n v="3150"/>
    <n v="98"/>
    <n v="64"/>
    <n v="263"/>
    <n v="1575"/>
    <n v="4.05"/>
    <n v="3"/>
    <n v="77.8"/>
    <n v="6.3E-2"/>
  </r>
  <r>
    <n v="87"/>
    <x v="2"/>
    <n v="31"/>
    <s v="30-34"/>
    <x v="9"/>
    <x v="7"/>
    <n v="14.6"/>
    <n v="14.9"/>
    <n v="-0.30000000000000071"/>
    <n v="-2.0547945205479503"/>
    <n v="42.5"/>
    <n v="42.8"/>
    <n v="-0.29999999999999716"/>
    <n v="-0.70588235294116985"/>
    <n v="255"/>
    <n v="210"/>
    <n v="45"/>
    <n v="17.647058823529413"/>
    <n v="10"/>
    <n v="11.1"/>
    <n v="-1.0999999999999996"/>
    <n v="13"/>
    <n v="14"/>
    <n v="-1"/>
    <n v="3100"/>
    <n v="88"/>
    <n v="69"/>
    <n v="267"/>
    <n v="1540"/>
    <n v="3.9"/>
    <n v="3"/>
    <n v="76"/>
    <n v="5.6000000000000001E-2"/>
  </r>
  <r>
    <n v="88"/>
    <x v="2"/>
    <n v="32"/>
    <s v="30-34"/>
    <x v="9"/>
    <x v="3"/>
    <n v="14.7"/>
    <n v="14.5"/>
    <n v="0.19999999999999929"/>
    <n v="1.3605442176870701"/>
    <n v="44.7"/>
    <n v="44"/>
    <n v="0.70000000000000284"/>
    <n v="1.5659955257270757"/>
    <n v="230"/>
    <n v="210"/>
    <n v="20"/>
    <n v="8.695652173913043"/>
    <n v="9.8000000000000007"/>
    <n v="10.6"/>
    <n v="-0.79999999999999893"/>
    <n v="12.9"/>
    <n v="14.2"/>
    <n v="-1.2999999999999989"/>
    <n v="3300"/>
    <n v="90"/>
    <n v="72"/>
    <n v="260"/>
    <n v="1450"/>
    <n v="4.3"/>
    <n v="3"/>
    <n v="78.7"/>
    <n v="5.8999999999999997E-2"/>
  </r>
  <r>
    <n v="89"/>
    <x v="2"/>
    <n v="28"/>
    <s v="25-29"/>
    <x v="24"/>
    <x v="16"/>
    <n v="15.2"/>
    <n v="14.1"/>
    <n v="1.0999999999999996"/>
    <n v="7.2368421052631557"/>
    <n v="41"/>
    <n v="40.299999999999997"/>
    <n v="0.70000000000000284"/>
    <n v="1.7073170731707388"/>
    <n v="280"/>
    <n v="230"/>
    <n v="50"/>
    <n v="17.857142857142858"/>
    <n v="9.8000000000000007"/>
    <n v="10.5"/>
    <n v="-0.69999999999999929"/>
    <n v="13"/>
    <n v="13.9"/>
    <n v="-0.90000000000000036"/>
    <n v="3250"/>
    <n v="106"/>
    <n v="61"/>
    <n v="275"/>
    <n v="1600"/>
    <n v="4.0999999999999996"/>
    <n v="3"/>
    <n v="79.2"/>
    <n v="6.7000000000000004E-2"/>
  </r>
  <r>
    <n v="90"/>
    <x v="2"/>
    <n v="30"/>
    <s v="30-34"/>
    <x v="10"/>
    <x v="2"/>
    <n v="14.6"/>
    <n v="14"/>
    <n v="0.59999999999999964"/>
    <n v="4.1095890410958882"/>
    <n v="42.1"/>
    <n v="41"/>
    <n v="1.1000000000000014"/>
    <n v="2.6128266033254191"/>
    <n v="230"/>
    <n v="190"/>
    <n v="40"/>
    <n v="17.391304347826086"/>
    <n v="9.8000000000000007"/>
    <n v="10.7"/>
    <n v="-0.89999999999999858"/>
    <n v="13"/>
    <n v="14"/>
    <n v="-1"/>
    <n v="2900"/>
    <n v="92"/>
    <n v="62"/>
    <n v="265"/>
    <n v="1500"/>
    <n v="4"/>
    <n v="3"/>
    <n v="78"/>
    <n v="6.40000000000000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8F2A7-624E-444E-A25D-218F1A27DB92}" name="PivotTable13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E28" firstHeaderRow="1" firstDataRow="2" firstDataCol="1"/>
  <pivotFields count="33">
    <pivotField showAll="0"/>
    <pivotField axis="axisCol" dataField="1" showAll="0">
      <items count="4">
        <item x="0"/>
        <item x="1"/>
        <item x="2"/>
        <item t="default"/>
      </items>
    </pivotField>
    <pivotField axis="axisRow" showAll="0">
      <items count="24">
        <item x="17"/>
        <item x="12"/>
        <item x="21"/>
        <item x="2"/>
        <item x="18"/>
        <item x="3"/>
        <item x="7"/>
        <item x="16"/>
        <item x="6"/>
        <item x="9"/>
        <item x="19"/>
        <item x="0"/>
        <item x="20"/>
        <item x="4"/>
        <item x="15"/>
        <item x="11"/>
        <item x="5"/>
        <item x="13"/>
        <item x="14"/>
        <item x="1"/>
        <item x="10"/>
        <item x="2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ystem" fld="1" subtotal="count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D6225-CED4-4C72-8CA1-2FF742809ACD}" name="PivotTable17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/>
  <pivotFields count="33"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3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de mean plt count" fld="30" subtotal="count" baseField="3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4E528-A01B-450F-B6D7-1302D18E45A6}" name="PivotTable27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E33" firstHeaderRow="1" firstDataRow="2" firstDataCol="1"/>
  <pivotFields count="33"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dataField="1" showAll="0">
      <items count="29">
        <item x="13"/>
        <item x="27"/>
        <item x="6"/>
        <item x="25"/>
        <item x="4"/>
        <item x="19"/>
        <item x="14"/>
        <item x="17"/>
        <item x="18"/>
        <item x="8"/>
        <item x="12"/>
        <item x="5"/>
        <item x="10"/>
        <item x="15"/>
        <item x="2"/>
        <item x="11"/>
        <item x="9"/>
        <item x="23"/>
        <item x="24"/>
        <item x="16"/>
        <item x="1"/>
        <item x="21"/>
        <item x="20"/>
        <item x="26"/>
        <item x="22"/>
        <item x="0"/>
        <item x="3"/>
        <item x="7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Weight (kg)" fld="4" subtotal="count" baseField="4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8E6B9-98DB-46F7-8AC1-3CCE2D3E0CCE}" name="PivotTable24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E24" firstHeaderRow="1" firstDataRow="2" firstDataCol="1"/>
  <pivotFields count="33"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dataField="1" showAll="0">
      <items count="20">
        <item x="8"/>
        <item x="17"/>
        <item x="14"/>
        <item x="13"/>
        <item x="2"/>
        <item x="15"/>
        <item x="0"/>
        <item x="18"/>
        <item x="1"/>
        <item x="9"/>
        <item x="3"/>
        <item x="4"/>
        <item x="11"/>
        <item x="7"/>
        <item x="6"/>
        <item x="10"/>
        <item x="5"/>
        <item x="12"/>
        <item x="16"/>
        <item t="default"/>
      </items>
    </pivotField>
    <pivotField showAll="0"/>
    <pivotField showAll="0"/>
    <pivotField showAll="0"/>
    <pivotField numFmtId="2"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Height (cm)" fld="5" subtotal="count" baseField="5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opLeftCell="B1" workbookViewId="0">
      <selection activeCell="A2" sqref="A1:X31"/>
    </sheetView>
  </sheetViews>
  <sheetFormatPr defaultRowHeight="14.4" x14ac:dyDescent="0.3"/>
  <cols>
    <col min="1" max="2" width="8.88671875" style="2"/>
  </cols>
  <sheetData>
    <row r="1" spans="1:24" x14ac:dyDescent="0.3">
      <c r="A1" s="2" t="s">
        <v>40</v>
      </c>
      <c r="B1" s="2" t="s">
        <v>42</v>
      </c>
      <c r="C1" s="3" t="s">
        <v>41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</row>
    <row r="2" spans="1:24" x14ac:dyDescent="0.3">
      <c r="A2" s="2">
        <v>1</v>
      </c>
      <c r="B2" s="2" t="s">
        <v>43</v>
      </c>
      <c r="C2" s="2" t="s">
        <v>1</v>
      </c>
      <c r="D2" s="2">
        <v>30</v>
      </c>
      <c r="E2" s="2">
        <v>98</v>
      </c>
      <c r="F2" s="2">
        <v>170</v>
      </c>
      <c r="G2" s="2">
        <v>14.7</v>
      </c>
      <c r="H2" s="2">
        <v>14.1</v>
      </c>
      <c r="I2" s="2">
        <v>41.7</v>
      </c>
      <c r="J2" s="2">
        <v>40</v>
      </c>
      <c r="K2" s="2">
        <v>214</v>
      </c>
      <c r="L2" s="2">
        <v>160</v>
      </c>
      <c r="M2" s="2">
        <v>11.2</v>
      </c>
      <c r="N2" s="2">
        <v>11.3</v>
      </c>
      <c r="O2" s="2">
        <v>13.3</v>
      </c>
      <c r="P2" s="2">
        <v>14.8</v>
      </c>
      <c r="Q2" s="2">
        <v>2466</v>
      </c>
      <c r="R2" s="2">
        <v>100</v>
      </c>
      <c r="S2" s="2">
        <v>47</v>
      </c>
      <c r="T2" s="2">
        <v>241</v>
      </c>
      <c r="U2" s="2">
        <v>1049</v>
      </c>
      <c r="V2" s="2">
        <v>2.52</v>
      </c>
      <c r="W2" s="2">
        <v>54.7</v>
      </c>
      <c r="X2" s="2">
        <v>5.2999999999999999E-2</v>
      </c>
    </row>
    <row r="3" spans="1:24" x14ac:dyDescent="0.3">
      <c r="A3" s="2">
        <v>2</v>
      </c>
      <c r="B3" s="2" t="s">
        <v>43</v>
      </c>
      <c r="C3" s="2" t="s">
        <v>2</v>
      </c>
      <c r="D3" s="2">
        <v>39</v>
      </c>
      <c r="E3" s="2">
        <v>84</v>
      </c>
      <c r="F3" s="2">
        <v>172</v>
      </c>
      <c r="G3" s="2">
        <v>16</v>
      </c>
      <c r="H3" s="2">
        <v>15.5</v>
      </c>
      <c r="I3" s="2">
        <v>46</v>
      </c>
      <c r="J3" s="2">
        <v>44.7</v>
      </c>
      <c r="K3" s="2">
        <v>263</v>
      </c>
      <c r="L3" s="2">
        <v>190</v>
      </c>
      <c r="M3" s="2">
        <v>11</v>
      </c>
      <c r="N3" s="2">
        <v>10.7</v>
      </c>
      <c r="O3" s="2">
        <v>15</v>
      </c>
      <c r="P3" s="2">
        <v>13.6</v>
      </c>
      <c r="Q3" s="2">
        <v>2377</v>
      </c>
      <c r="R3" s="2">
        <v>100</v>
      </c>
      <c r="S3" s="2">
        <v>45</v>
      </c>
      <c r="T3" s="2">
        <v>241</v>
      </c>
      <c r="U3" s="2">
        <v>805</v>
      </c>
      <c r="V3" s="2">
        <v>1.94</v>
      </c>
      <c r="W3" s="2">
        <v>36.1</v>
      </c>
      <c r="X3" s="2">
        <v>4.2999999999999997E-2</v>
      </c>
    </row>
    <row r="4" spans="1:24" x14ac:dyDescent="0.3">
      <c r="A4" s="2">
        <v>3</v>
      </c>
      <c r="B4" s="2" t="s">
        <v>43</v>
      </c>
      <c r="C4" s="2" t="s">
        <v>3</v>
      </c>
      <c r="D4" s="2">
        <v>22</v>
      </c>
      <c r="E4" s="2">
        <v>77</v>
      </c>
      <c r="F4" s="2">
        <v>168</v>
      </c>
      <c r="G4" s="2">
        <v>14.5</v>
      </c>
      <c r="H4" s="2">
        <v>13.8</v>
      </c>
      <c r="I4" s="2">
        <v>41.8</v>
      </c>
      <c r="J4" s="2">
        <v>40.200000000000003</v>
      </c>
      <c r="K4" s="2">
        <v>197</v>
      </c>
      <c r="L4" s="2">
        <v>138</v>
      </c>
      <c r="M4" s="2">
        <v>12.8</v>
      </c>
      <c r="N4" s="2">
        <v>10.7</v>
      </c>
      <c r="O4" s="2">
        <v>19.3</v>
      </c>
      <c r="P4" s="2">
        <v>16.7</v>
      </c>
      <c r="Q4" s="2">
        <v>3090</v>
      </c>
      <c r="R4" s="2">
        <v>117</v>
      </c>
      <c r="S4" s="2">
        <v>61</v>
      </c>
      <c r="T4" s="2">
        <v>237</v>
      </c>
      <c r="U4" s="2">
        <v>886</v>
      </c>
      <c r="V4" s="2">
        <v>2.09</v>
      </c>
      <c r="W4" s="2">
        <v>40.380000000000003</v>
      </c>
      <c r="X4" s="2">
        <v>3.4000000000000002E-2</v>
      </c>
    </row>
    <row r="5" spans="1:24" x14ac:dyDescent="0.3">
      <c r="A5" s="2">
        <v>4</v>
      </c>
      <c r="B5" s="2" t="s">
        <v>43</v>
      </c>
      <c r="C5" s="2" t="s">
        <v>4</v>
      </c>
      <c r="D5" s="2">
        <v>24</v>
      </c>
      <c r="E5" s="2">
        <v>100</v>
      </c>
      <c r="F5" s="2">
        <v>174</v>
      </c>
      <c r="G5" s="2">
        <v>15.6</v>
      </c>
      <c r="H5" s="2">
        <v>15.5</v>
      </c>
      <c r="I5" s="2">
        <v>45.2</v>
      </c>
      <c r="J5" s="2">
        <v>45.1</v>
      </c>
      <c r="K5" s="2">
        <v>469</v>
      </c>
      <c r="L5" s="2">
        <v>338</v>
      </c>
      <c r="M5" s="2">
        <v>7.9</v>
      </c>
      <c r="N5" s="2">
        <v>8.1999999999999993</v>
      </c>
      <c r="O5" s="2">
        <v>8.8000000000000007</v>
      </c>
      <c r="P5" s="2">
        <v>9.5</v>
      </c>
      <c r="Q5" s="2">
        <v>1697</v>
      </c>
      <c r="R5" s="2">
        <v>100</v>
      </c>
      <c r="S5" s="2">
        <v>33</v>
      </c>
      <c r="T5" s="2">
        <v>239</v>
      </c>
      <c r="U5" s="2">
        <v>1200</v>
      </c>
      <c r="V5" s="2">
        <v>2.86</v>
      </c>
      <c r="W5" s="2">
        <v>41.77</v>
      </c>
      <c r="X5" s="2">
        <v>8.5999999999999993E-2</v>
      </c>
    </row>
    <row r="6" spans="1:24" x14ac:dyDescent="0.3">
      <c r="A6" s="2">
        <v>5</v>
      </c>
      <c r="B6" s="2" t="s">
        <v>43</v>
      </c>
      <c r="C6" s="2" t="s">
        <v>5</v>
      </c>
      <c r="D6" s="2">
        <v>32</v>
      </c>
      <c r="E6" s="2">
        <v>77</v>
      </c>
      <c r="F6" s="2">
        <v>175</v>
      </c>
      <c r="G6" s="2">
        <v>13.1</v>
      </c>
      <c r="H6" s="2">
        <v>12.7</v>
      </c>
      <c r="I6" s="2">
        <v>41.4</v>
      </c>
      <c r="J6" s="2">
        <v>40.1</v>
      </c>
      <c r="K6" s="2">
        <v>271</v>
      </c>
      <c r="L6" s="2">
        <v>219</v>
      </c>
      <c r="M6" s="2">
        <v>9.5</v>
      </c>
      <c r="N6" s="2">
        <v>10.199999999999999</v>
      </c>
      <c r="O6" s="2">
        <v>10.7</v>
      </c>
      <c r="P6" s="2">
        <v>12.3</v>
      </c>
      <c r="Q6" s="2">
        <v>2257</v>
      </c>
      <c r="R6" s="2">
        <v>66</v>
      </c>
      <c r="S6" s="2">
        <v>41</v>
      </c>
      <c r="T6" s="2">
        <v>241</v>
      </c>
      <c r="U6" s="2">
        <v>1000</v>
      </c>
      <c r="V6" s="2">
        <v>2.41</v>
      </c>
      <c r="W6" s="2">
        <v>43.58</v>
      </c>
      <c r="X6" s="2">
        <v>5.8000000000000003E-2</v>
      </c>
    </row>
    <row r="7" spans="1:24" x14ac:dyDescent="0.3">
      <c r="A7" s="2">
        <v>6</v>
      </c>
      <c r="B7" s="2" t="s">
        <v>43</v>
      </c>
      <c r="C7" s="2" t="s">
        <v>6</v>
      </c>
      <c r="D7" s="2">
        <v>30</v>
      </c>
      <c r="E7" s="2">
        <v>77</v>
      </c>
      <c r="F7" s="2">
        <v>174</v>
      </c>
      <c r="G7" s="2">
        <v>12.9</v>
      </c>
      <c r="H7" s="2">
        <v>12.1</v>
      </c>
      <c r="I7" s="2">
        <v>41.6</v>
      </c>
      <c r="J7" s="2">
        <v>38</v>
      </c>
      <c r="K7" s="2">
        <v>234</v>
      </c>
      <c r="L7" s="2">
        <v>170</v>
      </c>
      <c r="M7" s="2">
        <v>10.8</v>
      </c>
      <c r="N7" s="2">
        <v>11</v>
      </c>
      <c r="O7" s="2">
        <v>13.2</v>
      </c>
      <c r="P7" s="2">
        <v>13.6</v>
      </c>
      <c r="Q7" s="2">
        <v>2661</v>
      </c>
      <c r="R7" s="2">
        <v>110</v>
      </c>
      <c r="S7" s="2">
        <v>49</v>
      </c>
      <c r="T7" s="2">
        <v>240</v>
      </c>
      <c r="U7" s="2">
        <v>1780</v>
      </c>
      <c r="V7" s="2">
        <v>4.2699999999999996</v>
      </c>
      <c r="W7" s="2">
        <v>79.44</v>
      </c>
      <c r="X7" s="2">
        <v>8.6999999999999994E-2</v>
      </c>
    </row>
    <row r="8" spans="1:24" x14ac:dyDescent="0.3">
      <c r="A8" s="2">
        <v>7</v>
      </c>
      <c r="B8" s="2" t="s">
        <v>43</v>
      </c>
      <c r="C8" s="2" t="s">
        <v>7</v>
      </c>
      <c r="D8" s="2">
        <v>30</v>
      </c>
      <c r="E8" s="2">
        <v>67</v>
      </c>
      <c r="F8" s="2">
        <v>170</v>
      </c>
      <c r="G8" s="2">
        <v>14.3</v>
      </c>
      <c r="H8" s="2">
        <v>13.9</v>
      </c>
      <c r="I8" s="2">
        <v>45</v>
      </c>
      <c r="J8" s="2">
        <v>43.5</v>
      </c>
      <c r="K8" s="2">
        <v>236</v>
      </c>
      <c r="L8" s="2">
        <v>183</v>
      </c>
      <c r="M8" s="2">
        <v>11.2</v>
      </c>
      <c r="N8" s="2">
        <v>11.4</v>
      </c>
      <c r="O8" s="2">
        <v>13.6</v>
      </c>
      <c r="P8" s="2">
        <v>14.6</v>
      </c>
      <c r="Q8" s="2">
        <v>2660</v>
      </c>
      <c r="R8" s="2">
        <v>90</v>
      </c>
      <c r="S8" s="2">
        <v>66</v>
      </c>
      <c r="T8" s="2">
        <v>241</v>
      </c>
      <c r="U8" s="2">
        <v>800</v>
      </c>
      <c r="V8" s="2">
        <v>1.92</v>
      </c>
      <c r="W8" s="2">
        <v>34.549999999999997</v>
      </c>
      <c r="X8" s="2">
        <v>2.9000000000000001E-2</v>
      </c>
    </row>
    <row r="9" spans="1:24" x14ac:dyDescent="0.3">
      <c r="A9" s="2">
        <v>8</v>
      </c>
      <c r="B9" s="2" t="s">
        <v>43</v>
      </c>
      <c r="C9" s="2" t="s">
        <v>8</v>
      </c>
      <c r="D9" s="2">
        <v>24</v>
      </c>
      <c r="E9" s="2">
        <v>74</v>
      </c>
      <c r="F9" s="2">
        <v>170</v>
      </c>
      <c r="G9" s="2">
        <v>13.9</v>
      </c>
      <c r="H9" s="2">
        <v>13.4</v>
      </c>
      <c r="I9" s="2">
        <v>43.4</v>
      </c>
      <c r="J9" s="2">
        <v>41</v>
      </c>
      <c r="K9" s="2">
        <v>216</v>
      </c>
      <c r="L9" s="2">
        <v>140</v>
      </c>
      <c r="M9" s="2">
        <v>12.1</v>
      </c>
      <c r="N9" s="2">
        <v>12.6</v>
      </c>
      <c r="O9" s="2">
        <v>15.2</v>
      </c>
      <c r="P9" s="2">
        <v>18.2</v>
      </c>
      <c r="Q9" s="2">
        <v>2826</v>
      </c>
      <c r="R9" s="2">
        <v>117</v>
      </c>
      <c r="S9" s="2">
        <v>53</v>
      </c>
      <c r="T9" s="2">
        <v>241</v>
      </c>
      <c r="U9" s="2">
        <v>1167</v>
      </c>
      <c r="V9" s="2">
        <v>2.81</v>
      </c>
      <c r="W9" s="2">
        <v>55.86</v>
      </c>
      <c r="X9" s="2">
        <v>5.2999999999999999E-2</v>
      </c>
    </row>
    <row r="10" spans="1:24" x14ac:dyDescent="0.3">
      <c r="A10" s="2">
        <v>9</v>
      </c>
      <c r="B10" s="2" t="s">
        <v>43</v>
      </c>
      <c r="C10" s="2" t="s">
        <v>9</v>
      </c>
      <c r="D10" s="2">
        <v>22</v>
      </c>
      <c r="E10" s="2">
        <v>65</v>
      </c>
      <c r="F10" s="2">
        <v>172</v>
      </c>
      <c r="G10" s="2">
        <v>13.8</v>
      </c>
      <c r="H10" s="2">
        <v>13.7</v>
      </c>
      <c r="I10" s="2">
        <v>44.4</v>
      </c>
      <c r="J10" s="2">
        <v>43.8</v>
      </c>
      <c r="K10" s="2">
        <v>247</v>
      </c>
      <c r="L10" s="2">
        <v>173</v>
      </c>
      <c r="M10" s="2">
        <v>12</v>
      </c>
      <c r="N10" s="2">
        <v>12.4</v>
      </c>
      <c r="O10" s="2">
        <v>14.8</v>
      </c>
      <c r="P10" s="2">
        <v>16.7</v>
      </c>
      <c r="Q10" s="2">
        <v>2651</v>
      </c>
      <c r="R10" s="2">
        <v>100</v>
      </c>
      <c r="S10" s="2">
        <v>56</v>
      </c>
      <c r="T10" s="2">
        <v>242</v>
      </c>
      <c r="U10" s="2">
        <v>869</v>
      </c>
      <c r="V10" s="2">
        <v>2.1</v>
      </c>
      <c r="W10" s="2">
        <v>37.72</v>
      </c>
      <c r="X10" s="2">
        <v>3.6999999999999998E-2</v>
      </c>
    </row>
    <row r="11" spans="1:24" x14ac:dyDescent="0.3">
      <c r="A11" s="2">
        <v>10</v>
      </c>
      <c r="B11" s="2" t="s">
        <v>43</v>
      </c>
      <c r="C11" s="2" t="s">
        <v>10</v>
      </c>
      <c r="D11" s="2">
        <v>35</v>
      </c>
      <c r="E11" s="2">
        <v>101</v>
      </c>
      <c r="F11" s="2">
        <v>180</v>
      </c>
      <c r="G11" s="2">
        <v>15.4</v>
      </c>
      <c r="H11" s="2">
        <v>14.8</v>
      </c>
      <c r="I11" s="2">
        <v>48.8</v>
      </c>
      <c r="J11" s="2">
        <v>46.4</v>
      </c>
      <c r="K11" s="2">
        <v>376</v>
      </c>
      <c r="L11" s="2">
        <v>308</v>
      </c>
      <c r="M11" s="2">
        <v>9.9</v>
      </c>
      <c r="N11" s="2">
        <v>10.3</v>
      </c>
      <c r="O11" s="2">
        <v>11.4</v>
      </c>
      <c r="P11" s="2">
        <v>11.2</v>
      </c>
      <c r="Q11" s="2">
        <v>1953</v>
      </c>
      <c r="R11" s="2">
        <v>103</v>
      </c>
      <c r="S11" s="2">
        <v>42</v>
      </c>
      <c r="T11" s="2">
        <v>237</v>
      </c>
      <c r="U11" s="2">
        <v>1865</v>
      </c>
      <c r="V11" s="2">
        <v>4.42</v>
      </c>
      <c r="W11" s="2">
        <v>66.180000000000007</v>
      </c>
      <c r="X11" s="2">
        <v>0.1</v>
      </c>
    </row>
    <row r="12" spans="1:24" x14ac:dyDescent="0.3">
      <c r="A12" s="2">
        <v>11</v>
      </c>
      <c r="B12" s="2" t="s">
        <v>43</v>
      </c>
      <c r="C12" s="2" t="s">
        <v>11</v>
      </c>
      <c r="D12" s="2">
        <v>24</v>
      </c>
      <c r="E12" s="2">
        <v>72</v>
      </c>
      <c r="F12" s="2">
        <v>170</v>
      </c>
      <c r="G12" s="2">
        <v>14</v>
      </c>
      <c r="H12" s="2">
        <v>13.4</v>
      </c>
      <c r="I12" s="2">
        <v>44.8</v>
      </c>
      <c r="J12" s="2">
        <v>43</v>
      </c>
      <c r="K12" s="2">
        <v>284</v>
      </c>
      <c r="L12" s="2">
        <v>233</v>
      </c>
      <c r="M12" s="2">
        <v>9.6999999999999993</v>
      </c>
      <c r="N12" s="2">
        <v>10.8</v>
      </c>
      <c r="O12" s="2">
        <v>10.8</v>
      </c>
      <c r="P12" s="2">
        <v>13.7</v>
      </c>
      <c r="Q12" s="2">
        <v>2273</v>
      </c>
      <c r="R12" s="2">
        <v>129</v>
      </c>
      <c r="S12" s="2">
        <v>41</v>
      </c>
      <c r="T12" s="2">
        <v>238</v>
      </c>
      <c r="U12" s="2">
        <v>1493</v>
      </c>
      <c r="V12" s="2">
        <v>3.55</v>
      </c>
      <c r="W12" s="2">
        <v>60.42</v>
      </c>
      <c r="X12" s="2">
        <v>8.5999999999999993E-2</v>
      </c>
    </row>
    <row r="13" spans="1:24" x14ac:dyDescent="0.3">
      <c r="A13" s="2">
        <v>12</v>
      </c>
      <c r="B13" s="2" t="s">
        <v>43</v>
      </c>
      <c r="C13" s="2" t="s">
        <v>12</v>
      </c>
      <c r="D13" s="2">
        <v>32</v>
      </c>
      <c r="E13" s="2">
        <v>79</v>
      </c>
      <c r="F13" s="2">
        <v>175</v>
      </c>
      <c r="G13" s="2">
        <v>15.6</v>
      </c>
      <c r="H13" s="2">
        <v>15.2</v>
      </c>
      <c r="I13" s="2">
        <v>48.7</v>
      </c>
      <c r="J13" s="2">
        <v>47</v>
      </c>
      <c r="K13" s="2">
        <v>275</v>
      </c>
      <c r="L13" s="2">
        <v>232</v>
      </c>
      <c r="M13" s="2">
        <v>9.5</v>
      </c>
      <c r="N13" s="2">
        <v>9.6999999999999993</v>
      </c>
      <c r="O13" s="2">
        <v>10.199999999999999</v>
      </c>
      <c r="P13" s="2">
        <v>10.3</v>
      </c>
      <c r="Q13" s="2">
        <v>2447</v>
      </c>
      <c r="R13" s="2">
        <v>127</v>
      </c>
      <c r="S13" s="2">
        <v>46</v>
      </c>
      <c r="T13" s="2">
        <v>236</v>
      </c>
      <c r="U13" s="2">
        <v>2113</v>
      </c>
      <c r="V13" s="2">
        <v>4.9800000000000004</v>
      </c>
      <c r="W13" s="2">
        <v>80.28</v>
      </c>
      <c r="X13" s="2">
        <v>0.1</v>
      </c>
    </row>
    <row r="14" spans="1:24" x14ac:dyDescent="0.3">
      <c r="A14" s="2">
        <v>13</v>
      </c>
      <c r="B14" s="2" t="s">
        <v>43</v>
      </c>
      <c r="C14" s="2" t="s">
        <v>13</v>
      </c>
      <c r="D14" s="2">
        <v>27</v>
      </c>
      <c r="E14" s="2">
        <v>75</v>
      </c>
      <c r="F14" s="2">
        <v>174</v>
      </c>
      <c r="G14" s="2">
        <v>16.3</v>
      </c>
      <c r="H14" s="2">
        <v>15.6</v>
      </c>
      <c r="I14" s="2">
        <v>49.4</v>
      </c>
      <c r="J14" s="2">
        <v>47.1</v>
      </c>
      <c r="K14" s="2">
        <v>312</v>
      </c>
      <c r="L14" s="2">
        <v>226</v>
      </c>
      <c r="M14" s="2">
        <v>9.3000000000000007</v>
      </c>
      <c r="N14" s="2">
        <v>9.6</v>
      </c>
      <c r="O14" s="2">
        <v>10.7</v>
      </c>
      <c r="P14" s="2">
        <v>11.8</v>
      </c>
      <c r="Q14" s="2">
        <v>2216</v>
      </c>
      <c r="R14" s="2">
        <v>129</v>
      </c>
      <c r="S14" s="2">
        <v>40</v>
      </c>
      <c r="T14" s="2">
        <v>239</v>
      </c>
      <c r="U14" s="2">
        <v>1963</v>
      </c>
      <c r="V14" s="2">
        <v>4.7300000000000004</v>
      </c>
      <c r="W14" s="2">
        <v>79.349999999999994</v>
      </c>
      <c r="X14" s="2">
        <v>0.11</v>
      </c>
    </row>
    <row r="15" spans="1:24" x14ac:dyDescent="0.3">
      <c r="A15" s="2">
        <v>14</v>
      </c>
      <c r="B15" s="2" t="s">
        <v>43</v>
      </c>
      <c r="C15" s="2" t="s">
        <v>14</v>
      </c>
      <c r="D15" s="2">
        <v>25</v>
      </c>
      <c r="E15" s="2">
        <v>78</v>
      </c>
      <c r="F15" s="2">
        <v>178</v>
      </c>
      <c r="G15" s="2">
        <v>13.7</v>
      </c>
      <c r="H15" s="2">
        <v>13.1</v>
      </c>
      <c r="I15" s="2">
        <v>38.1</v>
      </c>
      <c r="J15" s="2">
        <v>36.4</v>
      </c>
      <c r="K15" s="2">
        <v>313</v>
      </c>
      <c r="L15" s="2">
        <v>232</v>
      </c>
      <c r="M15" s="2">
        <v>10.9</v>
      </c>
      <c r="N15" s="2">
        <v>11</v>
      </c>
      <c r="O15" s="2">
        <v>14.6</v>
      </c>
      <c r="P15" s="2">
        <v>15.4</v>
      </c>
      <c r="Q15" s="2">
        <v>2074</v>
      </c>
      <c r="R15" s="2">
        <v>119</v>
      </c>
      <c r="S15" s="2">
        <v>41</v>
      </c>
      <c r="T15" s="2">
        <v>240</v>
      </c>
      <c r="U15" s="2">
        <v>778</v>
      </c>
      <c r="V15" s="2">
        <v>2.1</v>
      </c>
      <c r="W15" s="2">
        <v>37.159999999999997</v>
      </c>
      <c r="X15" s="2">
        <v>5.0999999999999997E-2</v>
      </c>
    </row>
    <row r="16" spans="1:24" x14ac:dyDescent="0.3">
      <c r="A16" s="2">
        <v>15</v>
      </c>
      <c r="B16" s="2" t="s">
        <v>43</v>
      </c>
      <c r="C16" s="2" t="s">
        <v>15</v>
      </c>
      <c r="D16" s="2">
        <v>35</v>
      </c>
      <c r="E16" s="2">
        <v>75</v>
      </c>
      <c r="F16" s="2">
        <v>175</v>
      </c>
      <c r="G16" s="2">
        <v>14.3</v>
      </c>
      <c r="H16" s="2">
        <v>14</v>
      </c>
      <c r="I16" s="2">
        <v>43.1</v>
      </c>
      <c r="J16" s="2">
        <v>42.5</v>
      </c>
      <c r="K16" s="2">
        <v>191</v>
      </c>
      <c r="L16" s="2">
        <v>129</v>
      </c>
      <c r="M16" s="2">
        <v>11</v>
      </c>
      <c r="N16" s="2">
        <v>11</v>
      </c>
      <c r="O16" s="2">
        <v>14.2</v>
      </c>
      <c r="P16" s="2">
        <v>15.3</v>
      </c>
      <c r="Q16" s="2">
        <v>3243</v>
      </c>
      <c r="R16" s="2">
        <v>100</v>
      </c>
      <c r="S16" s="2">
        <v>63</v>
      </c>
      <c r="T16" s="2">
        <v>238</v>
      </c>
      <c r="U16" s="2">
        <v>1834</v>
      </c>
      <c r="V16" s="2">
        <v>4.3600000000000003</v>
      </c>
      <c r="W16" s="2">
        <v>84.03</v>
      </c>
      <c r="X16" s="2">
        <v>6.9000000000000006E-2</v>
      </c>
    </row>
    <row r="17" spans="1:24" x14ac:dyDescent="0.3">
      <c r="A17" s="2">
        <v>16</v>
      </c>
      <c r="B17" s="2" t="s">
        <v>43</v>
      </c>
      <c r="C17" s="2" t="s">
        <v>16</v>
      </c>
      <c r="D17" s="2">
        <v>43</v>
      </c>
      <c r="E17" s="2">
        <v>84</v>
      </c>
      <c r="F17" s="2">
        <v>177</v>
      </c>
      <c r="G17" s="2">
        <v>16</v>
      </c>
      <c r="H17" s="2">
        <v>15.4</v>
      </c>
      <c r="I17" s="2">
        <v>45.2</v>
      </c>
      <c r="J17" s="2">
        <v>43.4</v>
      </c>
      <c r="K17" s="2">
        <v>313</v>
      </c>
      <c r="L17" s="2">
        <v>228</v>
      </c>
      <c r="M17" s="2">
        <v>8.9</v>
      </c>
      <c r="N17" s="2">
        <v>9.5</v>
      </c>
      <c r="O17" s="2">
        <v>10.8</v>
      </c>
      <c r="P17" s="2">
        <v>10.6</v>
      </c>
      <c r="Q17" s="2">
        <v>2091</v>
      </c>
      <c r="R17" s="2">
        <v>97</v>
      </c>
      <c r="S17" s="2">
        <v>47</v>
      </c>
      <c r="T17" s="2">
        <v>242</v>
      </c>
      <c r="U17" s="2">
        <v>944</v>
      </c>
      <c r="V17" s="2">
        <v>2.2799999999999998</v>
      </c>
      <c r="W17" s="2">
        <v>40.31</v>
      </c>
      <c r="X17" s="2">
        <v>4.8000000000000001E-2</v>
      </c>
    </row>
    <row r="18" spans="1:24" x14ac:dyDescent="0.3">
      <c r="A18" s="2">
        <v>17</v>
      </c>
      <c r="B18" s="2" t="s">
        <v>43</v>
      </c>
      <c r="C18" s="2" t="s">
        <v>17</v>
      </c>
      <c r="D18" s="2">
        <v>25</v>
      </c>
      <c r="E18" s="2">
        <v>73</v>
      </c>
      <c r="F18" s="2">
        <v>175</v>
      </c>
      <c r="G18" s="2">
        <v>14.3</v>
      </c>
      <c r="H18" s="2">
        <v>14.1</v>
      </c>
      <c r="I18" s="2">
        <v>41.5</v>
      </c>
      <c r="J18" s="2">
        <v>40.799999999999997</v>
      </c>
      <c r="K18" s="2">
        <v>241</v>
      </c>
      <c r="L18" s="2">
        <v>155</v>
      </c>
      <c r="M18" s="2">
        <v>11.2</v>
      </c>
      <c r="N18" s="2">
        <v>10.9</v>
      </c>
      <c r="O18" s="2">
        <v>15.2</v>
      </c>
      <c r="P18" s="2">
        <v>14.6</v>
      </c>
      <c r="Q18" s="2">
        <v>2420</v>
      </c>
      <c r="R18" s="2">
        <v>96</v>
      </c>
      <c r="S18" s="2">
        <v>61</v>
      </c>
      <c r="T18" s="2">
        <v>239</v>
      </c>
      <c r="U18" s="2">
        <v>1131</v>
      </c>
      <c r="V18" s="2">
        <v>2.7</v>
      </c>
      <c r="W18" s="2">
        <v>56.35</v>
      </c>
      <c r="X18" s="2">
        <v>4.3999999999999997E-2</v>
      </c>
    </row>
    <row r="19" spans="1:24" x14ac:dyDescent="0.3">
      <c r="A19" s="2">
        <v>18</v>
      </c>
      <c r="B19" s="2" t="s">
        <v>43</v>
      </c>
      <c r="C19" s="2" t="s">
        <v>18</v>
      </c>
      <c r="D19" s="2">
        <v>28</v>
      </c>
      <c r="E19" s="2">
        <v>60</v>
      </c>
      <c r="F19" s="2">
        <v>160</v>
      </c>
      <c r="G19" s="2">
        <v>15.1</v>
      </c>
      <c r="H19" s="2">
        <v>14.2</v>
      </c>
      <c r="I19" s="2">
        <v>45.4</v>
      </c>
      <c r="J19" s="2">
        <v>42</v>
      </c>
      <c r="K19" s="2">
        <v>243</v>
      </c>
      <c r="L19" s="2">
        <v>169</v>
      </c>
      <c r="M19" s="2">
        <v>10</v>
      </c>
      <c r="N19" s="2">
        <v>10.5</v>
      </c>
      <c r="O19" s="2">
        <v>12.4</v>
      </c>
      <c r="P19" s="2">
        <v>14</v>
      </c>
      <c r="Q19" s="2">
        <v>2681</v>
      </c>
      <c r="R19" s="2">
        <v>100</v>
      </c>
      <c r="S19" s="2">
        <v>60</v>
      </c>
      <c r="T19" s="2">
        <v>242</v>
      </c>
      <c r="U19" s="2">
        <v>1279</v>
      </c>
      <c r="V19" s="2">
        <v>3.09</v>
      </c>
      <c r="W19" s="2">
        <v>55.94</v>
      </c>
      <c r="X19" s="2">
        <v>5.0999999999999997E-2</v>
      </c>
    </row>
    <row r="20" spans="1:24" x14ac:dyDescent="0.3">
      <c r="A20" s="2">
        <v>19</v>
      </c>
      <c r="B20" s="2" t="s">
        <v>43</v>
      </c>
      <c r="C20" s="2">
        <v>19</v>
      </c>
      <c r="D20" s="2">
        <v>40</v>
      </c>
      <c r="E20" s="2">
        <v>69</v>
      </c>
      <c r="F20" s="2">
        <v>173</v>
      </c>
      <c r="G20" s="2">
        <v>14.1</v>
      </c>
      <c r="H20" s="2">
        <v>13.4</v>
      </c>
      <c r="I20" s="2">
        <v>39.299999999999997</v>
      </c>
      <c r="J20" s="2">
        <v>37.299999999999997</v>
      </c>
      <c r="K20" s="2">
        <v>219</v>
      </c>
      <c r="L20" s="2">
        <v>131</v>
      </c>
      <c r="M20" s="2">
        <v>11.1</v>
      </c>
      <c r="N20" s="2">
        <v>11.3</v>
      </c>
      <c r="O20" s="2">
        <v>14.4</v>
      </c>
      <c r="P20" s="2">
        <v>15.1</v>
      </c>
      <c r="Q20" s="2">
        <v>2939</v>
      </c>
      <c r="R20" s="2">
        <v>104</v>
      </c>
      <c r="S20" s="2">
        <v>39</v>
      </c>
      <c r="T20" s="2">
        <v>236</v>
      </c>
      <c r="U20" s="2">
        <v>2200</v>
      </c>
      <c r="V20" s="2">
        <v>5.19</v>
      </c>
      <c r="W20" s="2">
        <v>100</v>
      </c>
      <c r="X20" s="2">
        <v>0.13</v>
      </c>
    </row>
    <row r="21" spans="1:24" x14ac:dyDescent="0.3">
      <c r="A21" s="2">
        <v>20</v>
      </c>
      <c r="B21" s="2" t="s">
        <v>43</v>
      </c>
      <c r="C21" s="2">
        <v>20</v>
      </c>
      <c r="D21" s="2">
        <v>34</v>
      </c>
      <c r="E21" s="2">
        <v>76</v>
      </c>
      <c r="F21" s="2">
        <v>178</v>
      </c>
      <c r="G21" s="2">
        <v>13.6</v>
      </c>
      <c r="H21" s="2">
        <v>13</v>
      </c>
      <c r="I21" s="2">
        <v>42.6</v>
      </c>
      <c r="J21" s="2">
        <v>40.700000000000003</v>
      </c>
      <c r="K21" s="2">
        <v>259</v>
      </c>
      <c r="L21" s="2">
        <v>208</v>
      </c>
      <c r="M21" s="2">
        <v>10.3</v>
      </c>
      <c r="N21" s="2">
        <v>10.7</v>
      </c>
      <c r="O21" s="2">
        <v>13.2</v>
      </c>
      <c r="P21" s="2">
        <v>14.4</v>
      </c>
      <c r="Q21" s="2">
        <v>2345</v>
      </c>
      <c r="R21" s="2">
        <v>127</v>
      </c>
      <c r="S21" s="2">
        <v>60</v>
      </c>
      <c r="T21" s="2">
        <v>233</v>
      </c>
      <c r="U21" s="2">
        <v>1647</v>
      </c>
      <c r="V21" s="2">
        <v>3.83</v>
      </c>
      <c r="W21" s="2">
        <v>82.58</v>
      </c>
      <c r="X21" s="2">
        <v>6.3E-2</v>
      </c>
    </row>
    <row r="22" spans="1:24" x14ac:dyDescent="0.3">
      <c r="A22" s="2">
        <v>21</v>
      </c>
      <c r="B22" s="2" t="s">
        <v>43</v>
      </c>
      <c r="C22" s="2">
        <v>21</v>
      </c>
      <c r="D22" s="2">
        <v>20</v>
      </c>
      <c r="E22" s="2">
        <v>69</v>
      </c>
      <c r="F22" s="2">
        <v>179</v>
      </c>
      <c r="G22" s="2">
        <v>13.8</v>
      </c>
      <c r="H22" s="2">
        <v>12.9</v>
      </c>
      <c r="I22" s="2">
        <v>49.3</v>
      </c>
      <c r="J22" s="2">
        <v>47.6</v>
      </c>
      <c r="K22" s="2">
        <v>242</v>
      </c>
      <c r="L22" s="2">
        <v>181</v>
      </c>
      <c r="M22" s="2">
        <v>9.1</v>
      </c>
      <c r="N22" s="2">
        <v>10.199999999999999</v>
      </c>
      <c r="O22" s="2">
        <v>12.3</v>
      </c>
      <c r="P22" s="2">
        <v>13.7</v>
      </c>
      <c r="Q22" s="2">
        <v>2769</v>
      </c>
      <c r="R22" s="2">
        <v>105</v>
      </c>
      <c r="S22" s="2">
        <v>63</v>
      </c>
      <c r="T22" s="2">
        <v>238</v>
      </c>
      <c r="U22" s="2">
        <v>1534</v>
      </c>
      <c r="V22" s="2">
        <v>3.65</v>
      </c>
      <c r="W22" s="2">
        <v>75.06</v>
      </c>
      <c r="X22" s="2">
        <v>5.7000000000000002E-2</v>
      </c>
    </row>
    <row r="23" spans="1:24" x14ac:dyDescent="0.3">
      <c r="A23" s="2">
        <v>22</v>
      </c>
      <c r="B23" s="2" t="s">
        <v>43</v>
      </c>
      <c r="C23" s="2">
        <v>22</v>
      </c>
      <c r="D23" s="2">
        <v>36</v>
      </c>
      <c r="E23" s="2">
        <v>75</v>
      </c>
      <c r="F23" s="2">
        <v>177</v>
      </c>
      <c r="G23" s="2">
        <v>14.1</v>
      </c>
      <c r="H23" s="2">
        <v>13.2</v>
      </c>
      <c r="I23" s="2">
        <v>49.3</v>
      </c>
      <c r="J23" s="2">
        <v>47.9</v>
      </c>
      <c r="K23" s="2">
        <v>303</v>
      </c>
      <c r="L23" s="2">
        <v>240</v>
      </c>
      <c r="M23" s="2">
        <v>11.2</v>
      </c>
      <c r="N23" s="2">
        <v>12</v>
      </c>
      <c r="O23" s="2">
        <v>10.9</v>
      </c>
      <c r="P23" s="2">
        <v>11.9</v>
      </c>
      <c r="Q23" s="2">
        <v>2642</v>
      </c>
      <c r="R23" s="2">
        <v>95</v>
      </c>
      <c r="S23" s="2">
        <v>37</v>
      </c>
      <c r="T23" s="2">
        <v>231</v>
      </c>
      <c r="U23" s="2">
        <v>1826</v>
      </c>
      <c r="V23" s="2">
        <v>4.21</v>
      </c>
      <c r="W23" s="2">
        <v>73.02</v>
      </c>
      <c r="X23" s="2">
        <v>0.11</v>
      </c>
    </row>
    <row r="24" spans="1:24" x14ac:dyDescent="0.3">
      <c r="A24" s="2">
        <v>23</v>
      </c>
      <c r="B24" s="2" t="s">
        <v>43</v>
      </c>
      <c r="C24" s="2">
        <v>23</v>
      </c>
      <c r="D24" s="2">
        <v>27</v>
      </c>
      <c r="E24" s="2">
        <v>76</v>
      </c>
      <c r="F24" s="2">
        <v>178</v>
      </c>
      <c r="G24" s="2">
        <v>16.3</v>
      </c>
      <c r="H24" s="2">
        <v>15.6</v>
      </c>
      <c r="I24" s="2">
        <v>46.7</v>
      </c>
      <c r="J24" s="2">
        <v>45.6</v>
      </c>
      <c r="K24" s="2">
        <v>277</v>
      </c>
      <c r="L24" s="2">
        <v>204</v>
      </c>
      <c r="M24" s="2">
        <v>11.4</v>
      </c>
      <c r="N24" s="2">
        <v>11.7</v>
      </c>
      <c r="O24" s="2">
        <v>12.6</v>
      </c>
      <c r="P24" s="2">
        <v>13.3</v>
      </c>
      <c r="Q24" s="2">
        <v>2222</v>
      </c>
      <c r="R24" s="2">
        <v>93</v>
      </c>
      <c r="S24" s="2">
        <v>38</v>
      </c>
      <c r="T24" s="2">
        <v>242</v>
      </c>
      <c r="U24" s="2">
        <v>1340</v>
      </c>
      <c r="V24" s="2">
        <v>3.24</v>
      </c>
      <c r="W24" s="2">
        <v>78.61</v>
      </c>
      <c r="X24" s="2">
        <v>8.5000000000000006E-2</v>
      </c>
    </row>
    <row r="25" spans="1:24" x14ac:dyDescent="0.3">
      <c r="A25" s="2">
        <v>24</v>
      </c>
      <c r="B25" s="2" t="s">
        <v>43</v>
      </c>
      <c r="C25" s="2">
        <v>24</v>
      </c>
      <c r="D25" s="2">
        <v>28</v>
      </c>
      <c r="E25" s="2">
        <v>83</v>
      </c>
      <c r="F25" s="2">
        <v>176</v>
      </c>
      <c r="G25" s="2">
        <v>15.7</v>
      </c>
      <c r="H25" s="2">
        <v>15.2</v>
      </c>
      <c r="I25" s="2">
        <v>49.4</v>
      </c>
      <c r="J25" s="2">
        <v>47.3</v>
      </c>
      <c r="K25" s="2">
        <v>266</v>
      </c>
      <c r="L25" s="2">
        <v>208</v>
      </c>
      <c r="M25" s="2">
        <v>10</v>
      </c>
      <c r="N25" s="2">
        <v>10.9</v>
      </c>
      <c r="O25" s="2">
        <v>10.3</v>
      </c>
      <c r="P25" s="2">
        <v>11.2</v>
      </c>
      <c r="Q25" s="2">
        <v>3125</v>
      </c>
      <c r="R25" s="2">
        <v>125</v>
      </c>
      <c r="S25" s="2">
        <v>55</v>
      </c>
      <c r="T25" s="2">
        <v>236</v>
      </c>
      <c r="U25" s="2">
        <v>1403</v>
      </c>
      <c r="V25" s="2">
        <v>3.31</v>
      </c>
      <c r="W25" s="2">
        <v>64.52</v>
      </c>
      <c r="X25" s="2">
        <v>0.06</v>
      </c>
    </row>
    <row r="26" spans="1:24" x14ac:dyDescent="0.3">
      <c r="A26" s="2">
        <v>25</v>
      </c>
      <c r="B26" s="2" t="s">
        <v>43</v>
      </c>
      <c r="C26" s="2">
        <v>225</v>
      </c>
      <c r="D26" s="2">
        <v>38</v>
      </c>
      <c r="E26" s="2">
        <v>70</v>
      </c>
      <c r="F26" s="2">
        <v>179</v>
      </c>
      <c r="G26" s="2">
        <v>15.2</v>
      </c>
      <c r="H26" s="2">
        <v>14.7</v>
      </c>
      <c r="I26" s="2">
        <v>43</v>
      </c>
      <c r="J26" s="2">
        <v>41.1</v>
      </c>
      <c r="K26" s="2">
        <v>330</v>
      </c>
      <c r="L26" s="2">
        <v>271</v>
      </c>
      <c r="M26" s="2">
        <v>9.1</v>
      </c>
      <c r="N26" s="2">
        <v>9.8000000000000007</v>
      </c>
      <c r="O26" s="2">
        <v>10.199999999999999</v>
      </c>
      <c r="P26" s="2">
        <v>11.1</v>
      </c>
      <c r="Q26" s="2">
        <v>2805</v>
      </c>
      <c r="R26" s="2">
        <v>118</v>
      </c>
      <c r="S26" s="2">
        <v>49</v>
      </c>
      <c r="T26" s="2">
        <v>230</v>
      </c>
      <c r="U26" s="2">
        <v>1310</v>
      </c>
      <c r="V26" s="2">
        <v>3.01</v>
      </c>
      <c r="W26" s="2">
        <v>61.86</v>
      </c>
      <c r="X26" s="2">
        <v>6.0999999999999999E-2</v>
      </c>
    </row>
    <row r="27" spans="1:24" x14ac:dyDescent="0.3">
      <c r="A27" s="2">
        <v>26</v>
      </c>
      <c r="B27" s="2" t="s">
        <v>43</v>
      </c>
      <c r="C27" s="2">
        <v>26</v>
      </c>
      <c r="D27" s="2">
        <v>36</v>
      </c>
      <c r="E27" s="2">
        <v>70</v>
      </c>
      <c r="F27" s="2">
        <v>177</v>
      </c>
      <c r="G27" s="2">
        <v>14.6</v>
      </c>
      <c r="H27" s="2">
        <v>14.2</v>
      </c>
      <c r="I27" s="2">
        <v>44.3</v>
      </c>
      <c r="J27" s="2">
        <v>42.5</v>
      </c>
      <c r="K27" s="2">
        <v>228</v>
      </c>
      <c r="L27" s="2">
        <v>148</v>
      </c>
      <c r="M27" s="2">
        <v>9.4</v>
      </c>
      <c r="N27" s="2">
        <v>10.5</v>
      </c>
      <c r="O27" s="2">
        <v>13.9</v>
      </c>
      <c r="P27" s="2">
        <v>15.2</v>
      </c>
      <c r="Q27" s="2">
        <v>2707</v>
      </c>
      <c r="R27" s="2">
        <v>97</v>
      </c>
      <c r="S27" s="2">
        <v>60</v>
      </c>
      <c r="T27" s="2">
        <v>238</v>
      </c>
      <c r="U27" s="2">
        <v>1417</v>
      </c>
      <c r="V27" s="2">
        <v>3.37</v>
      </c>
      <c r="W27" s="2">
        <v>71.75</v>
      </c>
      <c r="X27" s="2">
        <v>5.6000000000000001E-2</v>
      </c>
    </row>
    <row r="28" spans="1:24" x14ac:dyDescent="0.3">
      <c r="A28" s="2">
        <v>27</v>
      </c>
      <c r="B28" s="2" t="s">
        <v>43</v>
      </c>
      <c r="C28" s="2">
        <v>27</v>
      </c>
      <c r="D28" s="2">
        <v>32</v>
      </c>
      <c r="E28" s="2">
        <v>78</v>
      </c>
      <c r="F28" s="2">
        <v>175</v>
      </c>
      <c r="G28" s="2">
        <v>15.5</v>
      </c>
      <c r="H28" s="2">
        <v>14.6</v>
      </c>
      <c r="I28" s="2">
        <v>44.7</v>
      </c>
      <c r="J28" s="2">
        <v>42.9</v>
      </c>
      <c r="K28" s="2">
        <v>254</v>
      </c>
      <c r="L28" s="2">
        <v>197</v>
      </c>
      <c r="M28" s="2">
        <v>11.5</v>
      </c>
      <c r="N28" s="2">
        <v>11.8</v>
      </c>
      <c r="O28" s="2">
        <v>10.7</v>
      </c>
      <c r="P28" s="2">
        <v>11.8</v>
      </c>
      <c r="Q28" s="2">
        <v>2823</v>
      </c>
      <c r="R28" s="2">
        <v>125</v>
      </c>
      <c r="S28" s="2">
        <v>58</v>
      </c>
      <c r="T28" s="2">
        <v>244</v>
      </c>
      <c r="U28" s="2">
        <v>1587</v>
      </c>
      <c r="V28" s="2">
        <v>3.87</v>
      </c>
      <c r="W28" s="2">
        <v>75.930000000000007</v>
      </c>
      <c r="X28" s="2">
        <v>6.6000000000000003E-2</v>
      </c>
    </row>
    <row r="29" spans="1:24" x14ac:dyDescent="0.3">
      <c r="A29" s="2">
        <v>28</v>
      </c>
      <c r="B29" s="2" t="s">
        <v>43</v>
      </c>
      <c r="C29" s="2">
        <v>28</v>
      </c>
      <c r="D29" s="2">
        <v>33</v>
      </c>
      <c r="E29" s="2">
        <v>71</v>
      </c>
      <c r="F29" s="2">
        <v>170</v>
      </c>
      <c r="G29" s="2">
        <v>14.5</v>
      </c>
      <c r="H29" s="2">
        <v>14</v>
      </c>
      <c r="I29" s="2">
        <v>41.8</v>
      </c>
      <c r="J29" s="2">
        <v>40.4</v>
      </c>
      <c r="K29" s="2">
        <v>314</v>
      </c>
      <c r="L29" s="2">
        <v>238</v>
      </c>
      <c r="M29" s="2">
        <v>10.1</v>
      </c>
      <c r="N29" s="2">
        <v>10.3</v>
      </c>
      <c r="O29" s="2">
        <v>11.2</v>
      </c>
      <c r="P29" s="2">
        <v>12.3</v>
      </c>
      <c r="Q29" s="2">
        <v>2001</v>
      </c>
      <c r="R29" s="2">
        <v>124</v>
      </c>
      <c r="S29" s="2">
        <v>54</v>
      </c>
      <c r="T29" s="2">
        <v>238</v>
      </c>
      <c r="U29" s="2">
        <v>1946</v>
      </c>
      <c r="V29" s="2">
        <v>4.63</v>
      </c>
      <c r="W29" s="2">
        <v>97.99</v>
      </c>
      <c r="X29" s="2">
        <v>8.5000000000000006E-2</v>
      </c>
    </row>
    <row r="30" spans="1:24" x14ac:dyDescent="0.3">
      <c r="A30" s="2">
        <v>29</v>
      </c>
      <c r="B30" s="2" t="s">
        <v>43</v>
      </c>
      <c r="C30" s="2">
        <v>29</v>
      </c>
      <c r="D30" s="2">
        <v>27</v>
      </c>
      <c r="E30" s="2">
        <v>79</v>
      </c>
      <c r="F30" s="2">
        <v>172</v>
      </c>
      <c r="G30" s="2">
        <v>15</v>
      </c>
      <c r="H30" s="2">
        <v>14</v>
      </c>
      <c r="I30" s="2">
        <v>49.1</v>
      </c>
      <c r="J30" s="2">
        <v>47.6</v>
      </c>
      <c r="K30" s="2">
        <v>214</v>
      </c>
      <c r="L30" s="2">
        <v>157</v>
      </c>
      <c r="M30" s="2">
        <v>9</v>
      </c>
      <c r="N30" s="2">
        <v>9.9</v>
      </c>
      <c r="O30" s="2">
        <v>14.3</v>
      </c>
      <c r="P30" s="2">
        <v>15.1</v>
      </c>
      <c r="Q30" s="2">
        <v>2852</v>
      </c>
      <c r="R30" s="2">
        <v>118</v>
      </c>
      <c r="S30" s="2">
        <v>42</v>
      </c>
      <c r="T30" s="2">
        <v>242</v>
      </c>
      <c r="U30" s="2">
        <v>1639</v>
      </c>
      <c r="V30" s="2">
        <v>3.96</v>
      </c>
      <c r="W30" s="2">
        <v>73.84</v>
      </c>
      <c r="X30" s="2">
        <v>9.4E-2</v>
      </c>
    </row>
    <row r="31" spans="1:24" x14ac:dyDescent="0.3">
      <c r="A31" s="2">
        <v>30</v>
      </c>
      <c r="B31" s="2" t="s">
        <v>43</v>
      </c>
      <c r="C31" s="2">
        <v>30</v>
      </c>
      <c r="D31" s="2">
        <v>28</v>
      </c>
      <c r="E31" s="2">
        <v>77</v>
      </c>
      <c r="F31" s="2">
        <v>170</v>
      </c>
      <c r="G31" s="2">
        <v>15.7</v>
      </c>
      <c r="H31" s="2">
        <v>15</v>
      </c>
      <c r="I31" s="2">
        <v>45.8</v>
      </c>
      <c r="J31" s="2">
        <v>43.9</v>
      </c>
      <c r="K31" s="2">
        <v>211</v>
      </c>
      <c r="L31" s="2">
        <v>130</v>
      </c>
      <c r="M31" s="2">
        <v>11</v>
      </c>
      <c r="N31" s="2">
        <v>11.1</v>
      </c>
      <c r="O31" s="2">
        <v>12.5</v>
      </c>
      <c r="P31" s="2">
        <v>13.7</v>
      </c>
      <c r="Q31" s="2">
        <v>2763</v>
      </c>
      <c r="R31" s="2">
        <v>121</v>
      </c>
      <c r="S31" s="2">
        <v>40</v>
      </c>
      <c r="T31" s="2">
        <v>243</v>
      </c>
      <c r="U31" s="2">
        <v>1355</v>
      </c>
      <c r="V31" s="2">
        <v>3.29</v>
      </c>
      <c r="W31" s="2">
        <v>72.45</v>
      </c>
      <c r="X31" s="2">
        <v>8.2000000000000003E-2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9246-9B19-4926-8D6C-8BFCE55083BA}">
  <dimension ref="A1:X31"/>
  <sheetViews>
    <sheetView topLeftCell="B6" workbookViewId="0">
      <selection activeCell="B2" sqref="B2:X31"/>
    </sheetView>
  </sheetViews>
  <sheetFormatPr defaultRowHeight="14.4" x14ac:dyDescent="0.3"/>
  <sheetData>
    <row r="1" spans="1:24" ht="18" x14ac:dyDescent="0.35">
      <c r="A1" t="s">
        <v>40</v>
      </c>
      <c r="B1" t="s">
        <v>42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37</v>
      </c>
      <c r="W1" s="1" t="s">
        <v>63</v>
      </c>
      <c r="X1" s="2" t="s">
        <v>39</v>
      </c>
    </row>
    <row r="2" spans="1:24" x14ac:dyDescent="0.3">
      <c r="A2">
        <v>1</v>
      </c>
      <c r="B2" t="s">
        <v>81</v>
      </c>
      <c r="C2" s="2" t="s">
        <v>64</v>
      </c>
      <c r="D2" s="2" t="s">
        <v>65</v>
      </c>
      <c r="E2" s="2">
        <v>68</v>
      </c>
      <c r="F2" s="2">
        <v>170</v>
      </c>
      <c r="G2" s="2">
        <v>14.3</v>
      </c>
      <c r="H2" s="2">
        <v>14</v>
      </c>
      <c r="I2" s="2">
        <v>38.700000000000003</v>
      </c>
      <c r="J2" s="2">
        <v>37.6</v>
      </c>
      <c r="K2" s="2">
        <v>278</v>
      </c>
      <c r="L2" s="2">
        <v>180</v>
      </c>
      <c r="M2" s="2">
        <v>11.3</v>
      </c>
      <c r="N2" s="2">
        <v>11.5</v>
      </c>
      <c r="O2" s="2">
        <v>12.8</v>
      </c>
      <c r="P2" s="2">
        <v>13.9</v>
      </c>
      <c r="Q2" s="2">
        <v>2918</v>
      </c>
      <c r="R2" s="2">
        <v>75</v>
      </c>
      <c r="S2" s="2">
        <v>73</v>
      </c>
      <c r="T2" s="2">
        <v>349</v>
      </c>
      <c r="U2" s="2">
        <v>1208</v>
      </c>
      <c r="V2" s="2" t="s">
        <v>66</v>
      </c>
      <c r="W2" s="2">
        <v>63.15</v>
      </c>
      <c r="X2" s="2">
        <v>5.7000000000000002E-2</v>
      </c>
    </row>
    <row r="3" spans="1:24" x14ac:dyDescent="0.3">
      <c r="A3">
        <v>2</v>
      </c>
      <c r="B3" s="2" t="s">
        <v>81</v>
      </c>
      <c r="C3" s="2" t="s">
        <v>67</v>
      </c>
      <c r="D3" s="2">
        <v>19</v>
      </c>
      <c r="E3" s="2">
        <v>73</v>
      </c>
      <c r="F3" s="2">
        <v>172</v>
      </c>
      <c r="G3" s="2">
        <v>14.1</v>
      </c>
      <c r="H3" s="2">
        <v>13.7</v>
      </c>
      <c r="I3" s="2">
        <v>42.2</v>
      </c>
      <c r="J3" s="2">
        <v>40.6</v>
      </c>
      <c r="K3" s="2">
        <v>449</v>
      </c>
      <c r="L3" s="2">
        <v>347</v>
      </c>
      <c r="M3" s="2">
        <v>8.9</v>
      </c>
      <c r="N3" s="2">
        <v>9</v>
      </c>
      <c r="O3" s="2">
        <v>10.5</v>
      </c>
      <c r="P3" s="2">
        <v>10.9</v>
      </c>
      <c r="Q3" s="2">
        <v>1869</v>
      </c>
      <c r="R3" s="2">
        <v>79</v>
      </c>
      <c r="S3" s="2">
        <v>47</v>
      </c>
      <c r="T3" s="2">
        <v>327</v>
      </c>
      <c r="U3" s="2" t="s">
        <v>68</v>
      </c>
      <c r="V3" s="2">
        <v>2.41</v>
      </c>
      <c r="W3" s="2">
        <v>32.43</v>
      </c>
      <c r="X3" s="2">
        <v>5.0999999999999997E-2</v>
      </c>
    </row>
    <row r="4" spans="1:24" x14ac:dyDescent="0.3">
      <c r="A4">
        <v>3</v>
      </c>
      <c r="B4" s="2" t="s">
        <v>81</v>
      </c>
      <c r="C4" s="2" t="s">
        <v>69</v>
      </c>
      <c r="D4" s="2">
        <v>23</v>
      </c>
      <c r="E4" s="2">
        <v>86</v>
      </c>
      <c r="F4" s="2">
        <v>181</v>
      </c>
      <c r="G4" s="2">
        <v>16.3</v>
      </c>
      <c r="H4" s="2">
        <v>16</v>
      </c>
      <c r="I4" s="2">
        <v>46.6</v>
      </c>
      <c r="J4" s="2">
        <v>44</v>
      </c>
      <c r="K4" s="2">
        <v>244</v>
      </c>
      <c r="L4" s="2">
        <v>177</v>
      </c>
      <c r="M4" s="2">
        <v>10.3</v>
      </c>
      <c r="N4" s="2">
        <v>10.5</v>
      </c>
      <c r="O4" s="2">
        <v>12.6</v>
      </c>
      <c r="P4" s="2">
        <v>12.9</v>
      </c>
      <c r="Q4" s="2">
        <v>3414</v>
      </c>
      <c r="R4" s="2">
        <v>75</v>
      </c>
      <c r="S4" s="2">
        <v>90</v>
      </c>
      <c r="T4" s="2">
        <v>325</v>
      </c>
      <c r="U4" s="2">
        <v>1053</v>
      </c>
      <c r="V4" s="2">
        <v>3.86</v>
      </c>
      <c r="W4" s="2">
        <v>53.76</v>
      </c>
      <c r="X4" s="2">
        <v>4.2000000000000003E-2</v>
      </c>
    </row>
    <row r="5" spans="1:24" x14ac:dyDescent="0.3">
      <c r="A5" s="2">
        <v>4</v>
      </c>
      <c r="B5" s="2" t="s">
        <v>81</v>
      </c>
      <c r="C5" s="2" t="s">
        <v>70</v>
      </c>
      <c r="D5" s="2">
        <v>23</v>
      </c>
      <c r="E5" s="2">
        <v>68</v>
      </c>
      <c r="F5" s="2">
        <v>178</v>
      </c>
      <c r="G5" s="2">
        <v>14.6</v>
      </c>
      <c r="H5" s="2">
        <v>14.1</v>
      </c>
      <c r="I5" s="2">
        <v>42.8</v>
      </c>
      <c r="J5" s="2">
        <v>41.5</v>
      </c>
      <c r="K5" s="2">
        <v>282</v>
      </c>
      <c r="L5" s="2">
        <v>213</v>
      </c>
      <c r="M5" s="2">
        <v>9.6</v>
      </c>
      <c r="N5" s="2">
        <v>10.3</v>
      </c>
      <c r="O5" s="2">
        <v>11.7</v>
      </c>
      <c r="P5" s="2">
        <v>12.6</v>
      </c>
      <c r="Q5" s="2">
        <v>2779</v>
      </c>
      <c r="R5" s="2">
        <v>75</v>
      </c>
      <c r="S5" s="2">
        <v>73</v>
      </c>
      <c r="T5" s="2">
        <v>326</v>
      </c>
      <c r="U5" s="2">
        <v>1186</v>
      </c>
      <c r="V5" s="2">
        <v>3.86</v>
      </c>
      <c r="W5" s="2">
        <v>55.9</v>
      </c>
      <c r="X5" s="2">
        <v>5.1999999999999998E-2</v>
      </c>
    </row>
    <row r="6" spans="1:24" x14ac:dyDescent="0.3">
      <c r="A6" s="2">
        <v>5</v>
      </c>
      <c r="B6" s="2" t="s">
        <v>81</v>
      </c>
      <c r="C6" s="2" t="s">
        <v>71</v>
      </c>
      <c r="D6" s="2">
        <v>40</v>
      </c>
      <c r="E6" s="2">
        <v>85</v>
      </c>
      <c r="F6" s="2">
        <v>172</v>
      </c>
      <c r="G6" s="2">
        <v>16</v>
      </c>
      <c r="H6" s="2">
        <v>15.5</v>
      </c>
      <c r="I6" s="2">
        <v>46.9</v>
      </c>
      <c r="J6" s="2">
        <v>46.5</v>
      </c>
      <c r="K6" s="2">
        <v>293</v>
      </c>
      <c r="L6" s="2">
        <v>213</v>
      </c>
      <c r="M6" s="2">
        <v>8.6999999999999993</v>
      </c>
      <c r="N6" s="2">
        <v>9.8000000000000007</v>
      </c>
      <c r="O6" s="2">
        <v>9.8000000000000007</v>
      </c>
      <c r="P6" s="2">
        <v>10.5</v>
      </c>
      <c r="Q6" s="2">
        <v>2650</v>
      </c>
      <c r="R6" s="2">
        <v>75</v>
      </c>
      <c r="S6" s="2">
        <v>69</v>
      </c>
      <c r="T6" s="2">
        <v>326</v>
      </c>
      <c r="U6" s="2">
        <v>1126</v>
      </c>
      <c r="V6" s="2">
        <v>3.67</v>
      </c>
      <c r="W6" s="2">
        <v>57.6</v>
      </c>
      <c r="X6" s="2">
        <v>5.2999999999999999E-2</v>
      </c>
    </row>
    <row r="7" spans="1:24" x14ac:dyDescent="0.3">
      <c r="A7" s="2">
        <v>6</v>
      </c>
      <c r="B7" s="2" t="s">
        <v>81</v>
      </c>
      <c r="C7" s="2" t="s">
        <v>72</v>
      </c>
      <c r="D7" s="2">
        <v>26</v>
      </c>
      <c r="E7" s="2">
        <v>75</v>
      </c>
      <c r="F7" s="2">
        <v>174</v>
      </c>
      <c r="G7" s="2">
        <v>15</v>
      </c>
      <c r="H7" s="2">
        <v>14.5</v>
      </c>
      <c r="I7" s="2">
        <v>47.4</v>
      </c>
      <c r="J7" s="2">
        <v>47</v>
      </c>
      <c r="K7" s="2">
        <v>279</v>
      </c>
      <c r="L7" s="2">
        <v>204</v>
      </c>
      <c r="M7" s="2">
        <v>8.6999999999999993</v>
      </c>
      <c r="N7" s="2">
        <v>9.3000000000000007</v>
      </c>
      <c r="O7" s="2">
        <v>9.1</v>
      </c>
      <c r="P7" s="2">
        <v>10</v>
      </c>
      <c r="Q7" s="2">
        <v>2916</v>
      </c>
      <c r="R7" s="2">
        <v>79</v>
      </c>
      <c r="S7" s="2">
        <v>73</v>
      </c>
      <c r="T7" s="2">
        <v>349</v>
      </c>
      <c r="U7" s="2">
        <v>1188</v>
      </c>
      <c r="V7" s="2">
        <v>4.1399999999999997</v>
      </c>
      <c r="W7" s="2">
        <v>58.9</v>
      </c>
      <c r="X7" s="2">
        <v>5.6000000000000001E-2</v>
      </c>
    </row>
    <row r="8" spans="1:24" x14ac:dyDescent="0.3">
      <c r="A8" s="2">
        <v>7</v>
      </c>
      <c r="B8" s="2" t="s">
        <v>81</v>
      </c>
      <c r="C8" s="2" t="s">
        <v>73</v>
      </c>
      <c r="D8" s="2">
        <v>24</v>
      </c>
      <c r="E8" s="2">
        <v>72</v>
      </c>
      <c r="F8" s="2">
        <v>167</v>
      </c>
      <c r="G8" s="2">
        <v>14.3</v>
      </c>
      <c r="H8" s="2">
        <v>14</v>
      </c>
      <c r="I8" s="2">
        <v>43.9</v>
      </c>
      <c r="J8" s="2">
        <v>43.6</v>
      </c>
      <c r="K8" s="2">
        <v>298</v>
      </c>
      <c r="L8" s="2">
        <v>212</v>
      </c>
      <c r="M8" s="2">
        <v>11.3</v>
      </c>
      <c r="N8" s="2">
        <v>11.7</v>
      </c>
      <c r="O8" s="2">
        <v>13.6</v>
      </c>
      <c r="P8" s="2">
        <v>13.8</v>
      </c>
      <c r="Q8" s="2">
        <v>2772</v>
      </c>
      <c r="R8" s="2">
        <v>75</v>
      </c>
      <c r="S8" s="2">
        <v>69</v>
      </c>
      <c r="T8" s="2">
        <v>349</v>
      </c>
      <c r="U8" s="2">
        <v>1170</v>
      </c>
      <c r="V8" s="2">
        <v>4.08</v>
      </c>
      <c r="W8" s="2">
        <v>57.8</v>
      </c>
      <c r="X8" s="2">
        <v>5.8999999999999997E-2</v>
      </c>
    </row>
    <row r="9" spans="1:24" x14ac:dyDescent="0.3">
      <c r="A9" s="2">
        <v>8</v>
      </c>
      <c r="B9" s="2" t="s">
        <v>81</v>
      </c>
      <c r="C9" s="2" t="s">
        <v>74</v>
      </c>
      <c r="D9" s="2">
        <v>26</v>
      </c>
      <c r="E9" s="2">
        <v>65</v>
      </c>
      <c r="F9" s="2">
        <v>166</v>
      </c>
      <c r="G9" s="2">
        <v>15.2</v>
      </c>
      <c r="H9" s="2">
        <v>14.9</v>
      </c>
      <c r="I9" s="2">
        <v>48.6</v>
      </c>
      <c r="J9" s="2">
        <v>46.8</v>
      </c>
      <c r="K9" s="2">
        <v>298</v>
      </c>
      <c r="L9" s="2">
        <v>217</v>
      </c>
      <c r="M9" s="2">
        <v>11.1</v>
      </c>
      <c r="N9" s="2">
        <v>11.8</v>
      </c>
      <c r="O9" s="2">
        <v>13.5</v>
      </c>
      <c r="P9" s="2">
        <v>15.1</v>
      </c>
      <c r="Q9" s="2">
        <v>2799</v>
      </c>
      <c r="R9" s="2">
        <v>74</v>
      </c>
      <c r="S9" s="2">
        <v>70</v>
      </c>
      <c r="T9" s="2">
        <v>349</v>
      </c>
      <c r="U9" s="2">
        <v>1221</v>
      </c>
      <c r="V9" s="2">
        <v>4.26</v>
      </c>
      <c r="W9" s="2">
        <v>59.1</v>
      </c>
      <c r="X9" s="2">
        <v>0.06</v>
      </c>
    </row>
    <row r="10" spans="1:24" x14ac:dyDescent="0.3">
      <c r="A10" s="2">
        <v>9</v>
      </c>
      <c r="B10" s="2" t="s">
        <v>81</v>
      </c>
      <c r="C10" s="2" t="s">
        <v>75</v>
      </c>
      <c r="D10" s="2">
        <v>32</v>
      </c>
      <c r="E10" s="2">
        <v>69</v>
      </c>
      <c r="F10" s="2">
        <v>173</v>
      </c>
      <c r="G10" s="2">
        <v>13.8</v>
      </c>
      <c r="H10" s="2">
        <v>13.8</v>
      </c>
      <c r="I10" s="2">
        <v>43.7</v>
      </c>
      <c r="J10" s="2">
        <v>43</v>
      </c>
      <c r="K10" s="2">
        <v>315</v>
      </c>
      <c r="L10" s="2">
        <v>231</v>
      </c>
      <c r="M10" s="2">
        <v>9.1</v>
      </c>
      <c r="N10" s="2">
        <v>9.5</v>
      </c>
      <c r="O10" s="2">
        <v>11.1</v>
      </c>
      <c r="P10" s="2">
        <v>9.6999999999999993</v>
      </c>
      <c r="Q10" s="2">
        <v>2625</v>
      </c>
      <c r="R10" s="2">
        <v>75</v>
      </c>
      <c r="S10" s="2">
        <v>65</v>
      </c>
      <c r="T10" s="2">
        <v>350</v>
      </c>
      <c r="U10" s="2">
        <v>1221</v>
      </c>
      <c r="V10" s="2">
        <v>4.2699999999999996</v>
      </c>
      <c r="W10" s="2">
        <v>60</v>
      </c>
      <c r="X10" s="2">
        <v>6.5000000000000002E-2</v>
      </c>
    </row>
    <row r="11" spans="1:24" x14ac:dyDescent="0.3">
      <c r="A11" s="2">
        <v>10</v>
      </c>
      <c r="B11" s="2" t="s">
        <v>81</v>
      </c>
      <c r="C11" s="2" t="s">
        <v>76</v>
      </c>
      <c r="D11" s="2">
        <v>32</v>
      </c>
      <c r="E11" s="2">
        <v>83</v>
      </c>
      <c r="F11" s="2">
        <v>175</v>
      </c>
      <c r="G11" s="2">
        <v>13.8</v>
      </c>
      <c r="H11" s="2">
        <v>13.5</v>
      </c>
      <c r="I11" s="2">
        <v>44.7</v>
      </c>
      <c r="J11" s="2">
        <v>42</v>
      </c>
      <c r="K11" s="2">
        <v>233</v>
      </c>
      <c r="L11" s="2">
        <v>187</v>
      </c>
      <c r="M11" s="2">
        <v>11.6</v>
      </c>
      <c r="N11" s="2">
        <v>11.9</v>
      </c>
      <c r="O11" s="2">
        <v>14.4</v>
      </c>
      <c r="P11" s="2">
        <v>15.2</v>
      </c>
      <c r="Q11" s="2">
        <v>3532</v>
      </c>
      <c r="R11" s="2">
        <v>75</v>
      </c>
      <c r="S11" s="2">
        <v>89</v>
      </c>
      <c r="T11" s="2">
        <v>348</v>
      </c>
      <c r="U11" s="2">
        <v>1209</v>
      </c>
      <c r="V11" s="2">
        <v>4.2</v>
      </c>
      <c r="W11" s="2">
        <v>57</v>
      </c>
      <c r="X11" s="2">
        <v>4.7E-2</v>
      </c>
    </row>
    <row r="12" spans="1:24" x14ac:dyDescent="0.3">
      <c r="A12" s="2">
        <v>11</v>
      </c>
      <c r="B12" s="2" t="s">
        <v>81</v>
      </c>
      <c r="C12" s="2" t="s">
        <v>77</v>
      </c>
      <c r="D12" s="2">
        <v>25</v>
      </c>
      <c r="E12" s="2">
        <v>60</v>
      </c>
      <c r="F12" s="2">
        <v>177</v>
      </c>
      <c r="G12" s="2">
        <v>15.6</v>
      </c>
      <c r="H12" s="2">
        <v>15</v>
      </c>
      <c r="I12" s="2">
        <v>45.5</v>
      </c>
      <c r="J12" s="2">
        <v>45.2</v>
      </c>
      <c r="K12" s="2">
        <v>245</v>
      </c>
      <c r="L12" s="2">
        <v>164</v>
      </c>
      <c r="M12" s="2">
        <v>10.1</v>
      </c>
      <c r="N12" s="2">
        <v>10.5</v>
      </c>
      <c r="O12" s="2">
        <v>12.1</v>
      </c>
      <c r="P12" s="2">
        <v>13.3</v>
      </c>
      <c r="Q12" s="2">
        <v>3094</v>
      </c>
      <c r="R12" s="2">
        <v>75</v>
      </c>
      <c r="S12" s="2">
        <v>82</v>
      </c>
      <c r="T12" s="2">
        <v>325</v>
      </c>
      <c r="U12" s="2">
        <v>1089</v>
      </c>
      <c r="V12" s="2">
        <v>3.53</v>
      </c>
      <c r="W12" s="2">
        <v>56</v>
      </c>
      <c r="X12" s="2">
        <v>4.2999999999999997E-2</v>
      </c>
    </row>
    <row r="13" spans="1:24" x14ac:dyDescent="0.3">
      <c r="A13" s="2">
        <v>12</v>
      </c>
      <c r="B13" s="2" t="s">
        <v>81</v>
      </c>
      <c r="C13" s="2" t="s">
        <v>78</v>
      </c>
      <c r="D13" s="2">
        <v>30</v>
      </c>
      <c r="E13" s="2">
        <v>73</v>
      </c>
      <c r="F13" s="2">
        <v>175</v>
      </c>
      <c r="G13" s="2">
        <v>15.4</v>
      </c>
      <c r="H13" s="2">
        <v>15.1</v>
      </c>
      <c r="I13" s="2">
        <v>43.2</v>
      </c>
      <c r="J13" s="2">
        <v>42.6</v>
      </c>
      <c r="K13" s="2">
        <v>253</v>
      </c>
      <c r="L13" s="2">
        <v>188</v>
      </c>
      <c r="M13" s="2">
        <v>10.7</v>
      </c>
      <c r="N13" s="2">
        <v>11.2</v>
      </c>
      <c r="O13" s="2">
        <v>15.3</v>
      </c>
      <c r="P13" s="2">
        <v>15.5</v>
      </c>
      <c r="Q13" s="2">
        <v>3096</v>
      </c>
      <c r="R13" s="2">
        <v>75</v>
      </c>
      <c r="S13" s="2">
        <v>82</v>
      </c>
      <c r="T13" s="2">
        <v>349</v>
      </c>
      <c r="U13" s="2">
        <v>973</v>
      </c>
      <c r="V13" s="2">
        <v>3.39</v>
      </c>
      <c r="W13" s="2">
        <v>50</v>
      </c>
      <c r="X13" s="2">
        <v>4.1000000000000002E-2</v>
      </c>
    </row>
    <row r="14" spans="1:24" x14ac:dyDescent="0.3">
      <c r="A14" s="2">
        <v>13</v>
      </c>
      <c r="B14" s="2" t="s">
        <v>81</v>
      </c>
      <c r="C14" s="2" t="s">
        <v>79</v>
      </c>
      <c r="D14" s="2">
        <v>19</v>
      </c>
      <c r="E14" s="2">
        <v>96</v>
      </c>
      <c r="F14" s="2">
        <v>180</v>
      </c>
      <c r="G14" s="2">
        <v>16.8</v>
      </c>
      <c r="H14" s="2">
        <v>16.5</v>
      </c>
      <c r="I14" s="2">
        <v>47.8</v>
      </c>
      <c r="J14" s="2">
        <v>46.8</v>
      </c>
      <c r="K14" s="2">
        <v>453</v>
      </c>
      <c r="L14" s="2">
        <v>370</v>
      </c>
      <c r="M14" s="2">
        <v>8.8000000000000007</v>
      </c>
      <c r="N14" s="2">
        <v>9.1</v>
      </c>
      <c r="O14" s="2">
        <v>10.6</v>
      </c>
      <c r="P14" s="2">
        <v>10.6</v>
      </c>
      <c r="Q14" s="2">
        <v>2037</v>
      </c>
      <c r="R14" s="2">
        <v>75</v>
      </c>
      <c r="S14" s="2">
        <v>52</v>
      </c>
      <c r="T14" s="2">
        <v>327</v>
      </c>
      <c r="U14" s="2">
        <v>1312</v>
      </c>
      <c r="V14" s="2">
        <v>4.29</v>
      </c>
      <c r="W14" s="2">
        <v>51</v>
      </c>
      <c r="X14" s="2">
        <v>8.2000000000000003E-2</v>
      </c>
    </row>
    <row r="15" spans="1:24" x14ac:dyDescent="0.3">
      <c r="A15" s="2">
        <v>14</v>
      </c>
      <c r="B15" s="2" t="s">
        <v>81</v>
      </c>
      <c r="C15" s="2" t="s">
        <v>80</v>
      </c>
      <c r="D15" s="2">
        <v>22</v>
      </c>
      <c r="E15" s="2">
        <v>60</v>
      </c>
      <c r="F15" s="2">
        <v>172</v>
      </c>
      <c r="G15" s="2">
        <v>14.4</v>
      </c>
      <c r="H15" s="2">
        <v>13.9</v>
      </c>
      <c r="I15" s="2">
        <v>42.6</v>
      </c>
      <c r="J15" s="2">
        <v>40.9</v>
      </c>
      <c r="K15" s="2">
        <v>268</v>
      </c>
      <c r="L15" s="2">
        <v>174</v>
      </c>
      <c r="M15" s="2">
        <v>10.5</v>
      </c>
      <c r="N15" s="2">
        <v>11</v>
      </c>
      <c r="O15" s="2">
        <v>13.9</v>
      </c>
      <c r="P15" s="2">
        <v>14.2</v>
      </c>
      <c r="Q15" s="2">
        <v>3075</v>
      </c>
      <c r="R15" s="2">
        <v>75</v>
      </c>
      <c r="S15" s="2">
        <v>82</v>
      </c>
      <c r="T15" s="2">
        <v>325</v>
      </c>
      <c r="U15" s="2">
        <v>1207</v>
      </c>
      <c r="V15" s="2">
        <v>3.92</v>
      </c>
      <c r="W15" s="2">
        <v>58</v>
      </c>
      <c r="X15" s="2">
        <v>4.7E-2</v>
      </c>
    </row>
    <row r="16" spans="1:24" x14ac:dyDescent="0.3">
      <c r="A16" s="2">
        <v>15</v>
      </c>
      <c r="B16" s="2" t="s">
        <v>81</v>
      </c>
      <c r="C16" s="2">
        <v>16</v>
      </c>
      <c r="D16" s="2">
        <v>29</v>
      </c>
      <c r="E16" s="2">
        <v>75</v>
      </c>
      <c r="F16" s="2">
        <v>176</v>
      </c>
      <c r="G16" s="2">
        <v>15.2</v>
      </c>
      <c r="H16" s="2">
        <v>14.8</v>
      </c>
      <c r="I16" s="2">
        <v>43.5</v>
      </c>
      <c r="J16" s="2">
        <v>42</v>
      </c>
      <c r="K16" s="2">
        <v>310</v>
      </c>
      <c r="L16" s="2">
        <v>215</v>
      </c>
      <c r="M16" s="2">
        <v>10.1</v>
      </c>
      <c r="N16" s="2">
        <v>10.4</v>
      </c>
      <c r="O16" s="2">
        <v>11.9</v>
      </c>
      <c r="P16" s="2">
        <v>12.8</v>
      </c>
      <c r="Q16" s="2">
        <v>3050</v>
      </c>
      <c r="R16" s="2">
        <v>76</v>
      </c>
      <c r="S16" s="2">
        <v>72</v>
      </c>
      <c r="T16" s="2">
        <v>331</v>
      </c>
      <c r="U16" s="2">
        <v>1095</v>
      </c>
      <c r="V16" s="2">
        <v>3.62</v>
      </c>
      <c r="W16" s="2">
        <v>45</v>
      </c>
      <c r="X16" s="2">
        <v>0.05</v>
      </c>
    </row>
    <row r="17" spans="1:24" x14ac:dyDescent="0.3">
      <c r="A17" s="2">
        <v>16</v>
      </c>
      <c r="B17" s="2" t="s">
        <v>81</v>
      </c>
      <c r="C17" s="2">
        <v>17</v>
      </c>
      <c r="D17" s="2">
        <v>34</v>
      </c>
      <c r="E17" s="2">
        <v>80</v>
      </c>
      <c r="F17" s="2">
        <v>180</v>
      </c>
      <c r="G17" s="2">
        <v>14.7</v>
      </c>
      <c r="H17" s="2">
        <v>14.4</v>
      </c>
      <c r="I17" s="2">
        <v>44.1</v>
      </c>
      <c r="J17" s="2">
        <v>42.9</v>
      </c>
      <c r="K17" s="2">
        <v>275</v>
      </c>
      <c r="L17" s="2">
        <v>190</v>
      </c>
      <c r="M17" s="2">
        <v>9.8000000000000007</v>
      </c>
      <c r="N17" s="2">
        <v>10</v>
      </c>
      <c r="O17" s="2">
        <v>10.7</v>
      </c>
      <c r="P17" s="2">
        <v>11.2</v>
      </c>
      <c r="Q17" s="2">
        <v>2820</v>
      </c>
      <c r="R17" s="2">
        <v>74</v>
      </c>
      <c r="S17" s="2">
        <v>70</v>
      </c>
      <c r="T17" s="2">
        <v>320</v>
      </c>
      <c r="U17" s="2">
        <v>1028</v>
      </c>
      <c r="V17" s="2">
        <v>3.28</v>
      </c>
      <c r="W17" s="2">
        <v>50</v>
      </c>
      <c r="X17" s="2">
        <v>4.5999999999999999E-2</v>
      </c>
    </row>
    <row r="18" spans="1:24" x14ac:dyDescent="0.3">
      <c r="A18" s="2">
        <v>17</v>
      </c>
      <c r="B18" s="2" t="s">
        <v>81</v>
      </c>
      <c r="C18" s="2">
        <v>18</v>
      </c>
      <c r="D18" s="2">
        <v>22</v>
      </c>
      <c r="E18" s="2">
        <v>70</v>
      </c>
      <c r="F18" s="2">
        <v>168</v>
      </c>
      <c r="G18" s="2">
        <v>14.5</v>
      </c>
      <c r="H18" s="2">
        <v>14.1</v>
      </c>
      <c r="I18" s="2">
        <v>41.8</v>
      </c>
      <c r="J18" s="2">
        <v>40.4</v>
      </c>
      <c r="K18" s="2">
        <v>355</v>
      </c>
      <c r="L18" s="2">
        <v>265</v>
      </c>
      <c r="M18" s="2">
        <v>10.5</v>
      </c>
      <c r="N18" s="2">
        <v>10.8</v>
      </c>
      <c r="O18" s="2">
        <v>12.4</v>
      </c>
      <c r="P18" s="2">
        <v>12.9</v>
      </c>
      <c r="Q18" s="2">
        <v>3225</v>
      </c>
      <c r="R18" s="2">
        <v>77</v>
      </c>
      <c r="S18" s="2">
        <v>75</v>
      </c>
      <c r="T18" s="2">
        <v>340</v>
      </c>
      <c r="U18" s="2">
        <v>1172</v>
      </c>
      <c r="V18" s="2">
        <v>3.98</v>
      </c>
      <c r="W18" s="2">
        <v>40</v>
      </c>
      <c r="X18" s="2">
        <v>5.2999999999999999E-2</v>
      </c>
    </row>
    <row r="19" spans="1:24" x14ac:dyDescent="0.3">
      <c r="A19" s="2">
        <v>18</v>
      </c>
      <c r="B19" s="2" t="s">
        <v>81</v>
      </c>
      <c r="C19" s="2">
        <v>19</v>
      </c>
      <c r="D19" s="2">
        <v>31</v>
      </c>
      <c r="E19" s="2">
        <v>72</v>
      </c>
      <c r="F19" s="2">
        <v>174</v>
      </c>
      <c r="G19" s="2">
        <v>15</v>
      </c>
      <c r="H19" s="2">
        <v>14.6</v>
      </c>
      <c r="I19" s="2">
        <v>43.2</v>
      </c>
      <c r="J19" s="2">
        <v>41.7</v>
      </c>
      <c r="K19" s="2">
        <v>296</v>
      </c>
      <c r="L19" s="2">
        <v>208</v>
      </c>
      <c r="M19" s="2">
        <v>9.6</v>
      </c>
      <c r="N19" s="2">
        <v>10</v>
      </c>
      <c r="O19" s="2">
        <v>11.5</v>
      </c>
      <c r="P19" s="2">
        <v>12.4</v>
      </c>
      <c r="Q19" s="2">
        <v>2895</v>
      </c>
      <c r="R19" s="2">
        <v>75</v>
      </c>
      <c r="S19" s="2">
        <v>71</v>
      </c>
      <c r="T19" s="2">
        <v>336</v>
      </c>
      <c r="U19" s="2">
        <v>1136</v>
      </c>
      <c r="V19" s="2">
        <v>3.81</v>
      </c>
      <c r="W19" s="2">
        <v>52</v>
      </c>
      <c r="X19" s="2">
        <v>5.2999999999999999E-2</v>
      </c>
    </row>
    <row r="20" spans="1:24" x14ac:dyDescent="0.3">
      <c r="A20" s="2">
        <v>19</v>
      </c>
      <c r="B20" s="2" t="s">
        <v>81</v>
      </c>
      <c r="C20" s="2">
        <v>20</v>
      </c>
      <c r="D20" s="2">
        <v>27</v>
      </c>
      <c r="E20" s="2">
        <v>78</v>
      </c>
      <c r="F20" s="2">
        <v>179</v>
      </c>
      <c r="G20" s="2">
        <v>14.8</v>
      </c>
      <c r="H20" s="2">
        <v>14.5</v>
      </c>
      <c r="I20" s="2">
        <v>42.6</v>
      </c>
      <c r="J20" s="2">
        <v>41.8</v>
      </c>
      <c r="K20" s="2">
        <v>330</v>
      </c>
      <c r="L20" s="2">
        <v>225</v>
      </c>
      <c r="M20" s="2">
        <v>10.3</v>
      </c>
      <c r="N20" s="2">
        <v>10.5</v>
      </c>
      <c r="O20" s="2">
        <v>12.1</v>
      </c>
      <c r="P20" s="2">
        <v>12.6</v>
      </c>
      <c r="Q20" s="2">
        <v>3005</v>
      </c>
      <c r="R20" s="2">
        <v>78</v>
      </c>
      <c r="S20" s="2">
        <v>73</v>
      </c>
      <c r="T20" s="2">
        <v>333</v>
      </c>
      <c r="U20" s="2">
        <v>1118</v>
      </c>
      <c r="V20" s="2">
        <v>3.72</v>
      </c>
      <c r="W20" s="2">
        <v>45</v>
      </c>
      <c r="X20" s="2">
        <v>0.05</v>
      </c>
    </row>
    <row r="21" spans="1:24" x14ac:dyDescent="0.3">
      <c r="A21" s="2">
        <v>20</v>
      </c>
      <c r="B21" s="2" t="s">
        <v>81</v>
      </c>
      <c r="C21" s="2">
        <v>21</v>
      </c>
      <c r="D21" s="2">
        <v>32</v>
      </c>
      <c r="E21" s="2">
        <v>82</v>
      </c>
      <c r="F21" s="2">
        <v>178</v>
      </c>
      <c r="G21" s="2">
        <v>15.6</v>
      </c>
      <c r="H21" s="2">
        <v>15.1</v>
      </c>
      <c r="I21" s="2">
        <v>45.2</v>
      </c>
      <c r="J21" s="2">
        <v>43.6</v>
      </c>
      <c r="K21" s="2">
        <v>288</v>
      </c>
      <c r="L21" s="2">
        <v>200</v>
      </c>
      <c r="M21" s="2">
        <v>10.199999999999999</v>
      </c>
      <c r="N21" s="2">
        <v>10.6</v>
      </c>
      <c r="O21" s="2">
        <v>11.5</v>
      </c>
      <c r="P21" s="2">
        <v>12.7</v>
      </c>
      <c r="Q21" s="2">
        <v>3120</v>
      </c>
      <c r="R21" s="2">
        <v>75</v>
      </c>
      <c r="S21" s="2">
        <v>74</v>
      </c>
      <c r="T21" s="2">
        <v>335</v>
      </c>
      <c r="U21" s="2">
        <v>1145</v>
      </c>
      <c r="V21" s="2">
        <v>3.83</v>
      </c>
      <c r="W21" s="2">
        <v>50</v>
      </c>
      <c r="X21" s="2">
        <v>5.0999999999999997E-2</v>
      </c>
    </row>
    <row r="22" spans="1:24" x14ac:dyDescent="0.3">
      <c r="A22" s="2">
        <v>21</v>
      </c>
      <c r="B22" s="2" t="s">
        <v>81</v>
      </c>
      <c r="C22" s="2">
        <v>22</v>
      </c>
      <c r="D22" s="2">
        <v>25</v>
      </c>
      <c r="E22" s="2">
        <v>71</v>
      </c>
      <c r="F22" s="2">
        <v>169</v>
      </c>
      <c r="G22" s="2">
        <v>14.4</v>
      </c>
      <c r="H22" s="2">
        <v>14.1</v>
      </c>
      <c r="I22" s="2">
        <v>41.9</v>
      </c>
      <c r="J22" s="2">
        <v>40.5</v>
      </c>
      <c r="K22" s="2">
        <v>342</v>
      </c>
      <c r="L22" s="2">
        <v>240</v>
      </c>
      <c r="M22" s="2">
        <v>9.9</v>
      </c>
      <c r="N22" s="2">
        <v>10.199999999999999</v>
      </c>
      <c r="O22" s="2">
        <v>12</v>
      </c>
      <c r="P22" s="2">
        <v>12.8</v>
      </c>
      <c r="Q22" s="2">
        <v>2980</v>
      </c>
      <c r="R22" s="2">
        <v>76</v>
      </c>
      <c r="S22" s="2">
        <v>71</v>
      </c>
      <c r="T22" s="2">
        <v>328</v>
      </c>
      <c r="U22" s="2">
        <v>1092</v>
      </c>
      <c r="V22" s="2">
        <v>3.58</v>
      </c>
      <c r="W22" s="2">
        <v>41</v>
      </c>
      <c r="X22" s="2">
        <v>0.05</v>
      </c>
    </row>
    <row r="23" spans="1:24" x14ac:dyDescent="0.3">
      <c r="A23" s="2">
        <v>22</v>
      </c>
      <c r="B23" s="2" t="s">
        <v>81</v>
      </c>
      <c r="C23" s="2">
        <v>23</v>
      </c>
      <c r="D23" s="2">
        <v>36</v>
      </c>
      <c r="E23" s="2">
        <v>76</v>
      </c>
      <c r="F23" s="2">
        <v>182</v>
      </c>
      <c r="G23" s="2">
        <v>15</v>
      </c>
      <c r="H23" s="2">
        <v>14.6</v>
      </c>
      <c r="I23" s="2">
        <v>43.6</v>
      </c>
      <c r="J23" s="2">
        <v>42.2</v>
      </c>
      <c r="K23" s="2">
        <v>277</v>
      </c>
      <c r="L23" s="2">
        <v>190</v>
      </c>
      <c r="M23" s="2">
        <v>10.4</v>
      </c>
      <c r="N23" s="2">
        <v>10.7</v>
      </c>
      <c r="O23" s="2">
        <v>10.9</v>
      </c>
      <c r="P23" s="2">
        <v>11.5</v>
      </c>
      <c r="Q23" s="2">
        <v>3255</v>
      </c>
      <c r="R23" s="2">
        <v>74</v>
      </c>
      <c r="S23" s="2">
        <v>76</v>
      </c>
      <c r="T23" s="2">
        <v>338</v>
      </c>
      <c r="U23" s="2">
        <v>1160</v>
      </c>
      <c r="V23" s="2">
        <v>3.92</v>
      </c>
      <c r="W23" s="2">
        <v>52</v>
      </c>
      <c r="X23" s="2">
        <v>5.0999999999999997E-2</v>
      </c>
    </row>
    <row r="24" spans="1:24" x14ac:dyDescent="0.3">
      <c r="A24" s="2">
        <v>23</v>
      </c>
      <c r="B24" s="2" t="s">
        <v>81</v>
      </c>
      <c r="C24" s="2">
        <v>24</v>
      </c>
      <c r="D24" s="2">
        <v>28</v>
      </c>
      <c r="E24" s="2">
        <v>69</v>
      </c>
      <c r="F24" s="2">
        <v>170</v>
      </c>
      <c r="G24" s="2">
        <v>14.2</v>
      </c>
      <c r="H24" s="2">
        <v>13.9</v>
      </c>
      <c r="I24" s="2">
        <v>40.799999999999997</v>
      </c>
      <c r="J24" s="2">
        <v>39.6</v>
      </c>
      <c r="K24" s="2">
        <v>305</v>
      </c>
      <c r="L24" s="2">
        <v>215</v>
      </c>
      <c r="M24" s="2">
        <v>9.6999999999999993</v>
      </c>
      <c r="N24" s="2">
        <v>10.1</v>
      </c>
      <c r="O24" s="2">
        <v>11.2</v>
      </c>
      <c r="P24" s="2">
        <v>12</v>
      </c>
      <c r="Q24" s="2">
        <v>2890</v>
      </c>
      <c r="R24" s="2">
        <v>78</v>
      </c>
      <c r="S24" s="2">
        <v>70</v>
      </c>
      <c r="T24" s="2">
        <v>330</v>
      </c>
      <c r="U24" s="2">
        <v>1103</v>
      </c>
      <c r="V24" s="2">
        <v>3.63</v>
      </c>
      <c r="W24" s="2">
        <v>48</v>
      </c>
      <c r="X24" s="2">
        <v>5.0999999999999997E-2</v>
      </c>
    </row>
    <row r="25" spans="1:24" x14ac:dyDescent="0.3">
      <c r="A25" s="2">
        <v>24</v>
      </c>
      <c r="B25" s="2" t="s">
        <v>81</v>
      </c>
      <c r="C25" s="2">
        <v>25</v>
      </c>
      <c r="D25" s="2">
        <v>24</v>
      </c>
      <c r="E25" s="2">
        <v>74</v>
      </c>
      <c r="F25" s="2">
        <v>174</v>
      </c>
      <c r="G25" s="2">
        <v>14.9</v>
      </c>
      <c r="H25" s="2">
        <v>14.4</v>
      </c>
      <c r="I25" s="2">
        <v>42.7</v>
      </c>
      <c r="J25" s="2">
        <v>41.5</v>
      </c>
      <c r="K25" s="2">
        <v>315</v>
      </c>
      <c r="L25" s="2">
        <v>218</v>
      </c>
      <c r="M25" s="2">
        <v>9.5</v>
      </c>
      <c r="N25" s="2">
        <v>9.8000000000000007</v>
      </c>
      <c r="O25" s="2">
        <v>10.7</v>
      </c>
      <c r="P25" s="2">
        <v>11.4</v>
      </c>
      <c r="Q25" s="2">
        <v>3000</v>
      </c>
      <c r="R25" s="2">
        <v>77</v>
      </c>
      <c r="S25" s="2">
        <v>72</v>
      </c>
      <c r="T25" s="2">
        <v>332</v>
      </c>
      <c r="U25" s="2">
        <v>1116</v>
      </c>
      <c r="V25" s="2">
        <v>3.7</v>
      </c>
      <c r="W25" s="2">
        <v>46</v>
      </c>
      <c r="X25" s="2">
        <v>5.0999999999999997E-2</v>
      </c>
    </row>
    <row r="26" spans="1:24" x14ac:dyDescent="0.3">
      <c r="A26" s="2">
        <v>25</v>
      </c>
      <c r="B26" s="2" t="s">
        <v>81</v>
      </c>
      <c r="C26" s="2">
        <v>26</v>
      </c>
      <c r="D26" s="2">
        <v>33</v>
      </c>
      <c r="E26" s="2">
        <v>80</v>
      </c>
      <c r="F26" s="2">
        <v>180</v>
      </c>
      <c r="G26" s="2">
        <v>15.5</v>
      </c>
      <c r="H26" s="2">
        <v>15</v>
      </c>
      <c r="I26" s="2">
        <v>44.9</v>
      </c>
      <c r="J26" s="2">
        <v>43.3</v>
      </c>
      <c r="K26" s="2">
        <v>298</v>
      </c>
      <c r="L26" s="2">
        <v>207</v>
      </c>
      <c r="M26" s="2">
        <v>10</v>
      </c>
      <c r="N26" s="2">
        <v>10.3</v>
      </c>
      <c r="O26" s="2">
        <v>11.8</v>
      </c>
      <c r="P26" s="2">
        <v>12.6</v>
      </c>
      <c r="Q26" s="2">
        <v>3180</v>
      </c>
      <c r="R26" s="2">
        <v>75</v>
      </c>
      <c r="S26" s="2">
        <v>75</v>
      </c>
      <c r="T26" s="2">
        <v>337</v>
      </c>
      <c r="U26" s="2">
        <v>1154</v>
      </c>
      <c r="V26" s="2">
        <v>3.88</v>
      </c>
      <c r="W26" s="2">
        <v>48</v>
      </c>
      <c r="X26" s="2">
        <v>5.0999999999999997E-2</v>
      </c>
    </row>
    <row r="27" spans="1:24" x14ac:dyDescent="0.3">
      <c r="A27" s="2">
        <v>26</v>
      </c>
      <c r="B27" s="2" t="s">
        <v>81</v>
      </c>
      <c r="C27" s="2">
        <v>27</v>
      </c>
      <c r="D27" s="2">
        <v>26</v>
      </c>
      <c r="E27" s="2">
        <v>77</v>
      </c>
      <c r="F27" s="2">
        <v>174</v>
      </c>
      <c r="G27" s="2">
        <v>14.7</v>
      </c>
      <c r="H27" s="2">
        <v>14.4</v>
      </c>
      <c r="I27" s="2">
        <v>43.2</v>
      </c>
      <c r="J27" s="2">
        <v>41.8</v>
      </c>
      <c r="K27" s="2">
        <v>360</v>
      </c>
      <c r="L27" s="2">
        <v>265</v>
      </c>
      <c r="M27" s="2">
        <v>10.5</v>
      </c>
      <c r="N27" s="2">
        <v>10.8</v>
      </c>
      <c r="O27" s="2">
        <v>12.5</v>
      </c>
      <c r="P27" s="2">
        <v>13.1</v>
      </c>
      <c r="Q27" s="2">
        <v>3325</v>
      </c>
      <c r="R27" s="2">
        <v>76</v>
      </c>
      <c r="S27" s="2">
        <v>78</v>
      </c>
      <c r="T27" s="2">
        <v>343</v>
      </c>
      <c r="U27" s="2">
        <v>1203</v>
      </c>
      <c r="V27" s="2">
        <v>4.12</v>
      </c>
      <c r="W27" s="2">
        <v>40</v>
      </c>
      <c r="X27" s="2">
        <v>5.1999999999999998E-2</v>
      </c>
    </row>
    <row r="28" spans="1:24" x14ac:dyDescent="0.3">
      <c r="A28" s="2">
        <v>27</v>
      </c>
      <c r="B28" s="2" t="s">
        <v>81</v>
      </c>
      <c r="C28" s="2">
        <v>28</v>
      </c>
      <c r="D28" s="2">
        <v>38</v>
      </c>
      <c r="E28" s="2">
        <v>68</v>
      </c>
      <c r="F28" s="2">
        <v>169</v>
      </c>
      <c r="G28" s="2">
        <v>14.3</v>
      </c>
      <c r="H28" s="2">
        <v>14</v>
      </c>
      <c r="I28" s="2">
        <v>41.3</v>
      </c>
      <c r="J28" s="2">
        <v>39.9</v>
      </c>
      <c r="K28" s="2">
        <v>287</v>
      </c>
      <c r="L28" s="2">
        <v>202</v>
      </c>
      <c r="M28" s="2">
        <v>9.6</v>
      </c>
      <c r="N28" s="2">
        <v>10</v>
      </c>
      <c r="O28" s="2">
        <v>11.1</v>
      </c>
      <c r="P28" s="2">
        <v>12.2</v>
      </c>
      <c r="Q28" s="2">
        <v>2950</v>
      </c>
      <c r="R28" s="2">
        <v>75</v>
      </c>
      <c r="S28" s="2">
        <v>70</v>
      </c>
      <c r="T28" s="2">
        <v>329</v>
      </c>
      <c r="U28" s="2">
        <v>1108</v>
      </c>
      <c r="V28" s="2">
        <v>3.64</v>
      </c>
      <c r="W28" s="2">
        <v>50</v>
      </c>
      <c r="X28" s="2">
        <v>5.1999999999999998E-2</v>
      </c>
    </row>
    <row r="29" spans="1:24" x14ac:dyDescent="0.3">
      <c r="A29" s="2">
        <v>28</v>
      </c>
      <c r="B29" s="2" t="s">
        <v>81</v>
      </c>
      <c r="C29" s="2">
        <v>29</v>
      </c>
      <c r="D29" s="2">
        <v>29</v>
      </c>
      <c r="E29" s="2">
        <v>72</v>
      </c>
      <c r="F29" s="2">
        <v>176</v>
      </c>
      <c r="G29" s="2">
        <v>15</v>
      </c>
      <c r="H29" s="2">
        <v>14.5</v>
      </c>
      <c r="I29" s="2">
        <v>42.9</v>
      </c>
      <c r="J29" s="2">
        <v>41.3</v>
      </c>
      <c r="K29" s="2">
        <v>335</v>
      </c>
      <c r="L29" s="2">
        <v>230</v>
      </c>
      <c r="M29" s="2">
        <v>10.199999999999999</v>
      </c>
      <c r="N29" s="2">
        <v>10.5</v>
      </c>
      <c r="O29" s="2">
        <v>12.2</v>
      </c>
      <c r="P29" s="2">
        <v>12.9</v>
      </c>
      <c r="Q29" s="2">
        <v>3060</v>
      </c>
      <c r="R29" s="2">
        <v>75</v>
      </c>
      <c r="S29" s="2">
        <v>80</v>
      </c>
      <c r="T29" s="2">
        <v>334</v>
      </c>
      <c r="U29" s="2">
        <v>1137</v>
      </c>
      <c r="V29" s="2">
        <v>3.79</v>
      </c>
      <c r="W29" s="2">
        <v>44</v>
      </c>
      <c r="X29" s="2">
        <v>0.47</v>
      </c>
    </row>
    <row r="30" spans="1:24" x14ac:dyDescent="0.3">
      <c r="A30" s="2">
        <v>29</v>
      </c>
      <c r="B30" s="2" t="s">
        <v>81</v>
      </c>
      <c r="C30" s="2">
        <v>30</v>
      </c>
      <c r="D30" s="2">
        <v>30</v>
      </c>
      <c r="E30" s="2">
        <v>79</v>
      </c>
      <c r="F30" s="2">
        <v>181</v>
      </c>
      <c r="G30" s="2">
        <v>15.1</v>
      </c>
      <c r="H30" s="2">
        <v>14.3</v>
      </c>
      <c r="I30" s="2">
        <v>44.1</v>
      </c>
      <c r="J30" s="2">
        <v>42.2</v>
      </c>
      <c r="K30" s="2">
        <v>299</v>
      </c>
      <c r="L30" s="2">
        <v>208</v>
      </c>
      <c r="M30" s="2">
        <v>10.1</v>
      </c>
      <c r="N30" s="2">
        <v>10.5</v>
      </c>
      <c r="O30" s="2">
        <v>11.6</v>
      </c>
      <c r="P30" s="2">
        <v>12.6</v>
      </c>
      <c r="Q30" s="2">
        <v>3195</v>
      </c>
      <c r="R30" s="2">
        <v>75</v>
      </c>
      <c r="S30" s="2">
        <v>77</v>
      </c>
      <c r="T30" s="2">
        <v>340</v>
      </c>
      <c r="U30" s="2">
        <v>1180</v>
      </c>
      <c r="V30" s="2">
        <v>4.01</v>
      </c>
      <c r="W30" s="2">
        <v>50</v>
      </c>
      <c r="X30" s="2">
        <v>5.1999999999999998E-2</v>
      </c>
    </row>
    <row r="31" spans="1:24" x14ac:dyDescent="0.3">
      <c r="A31" s="2">
        <v>30</v>
      </c>
      <c r="B31" s="2" t="s">
        <v>81</v>
      </c>
      <c r="C31" s="2">
        <v>31</v>
      </c>
      <c r="D31" s="2">
        <v>29</v>
      </c>
      <c r="E31" s="2">
        <v>72</v>
      </c>
      <c r="F31" s="2">
        <v>176</v>
      </c>
      <c r="G31" s="2">
        <v>14.7</v>
      </c>
      <c r="H31" s="2">
        <v>14.4</v>
      </c>
      <c r="I31" s="2">
        <v>41.9</v>
      </c>
      <c r="J31" s="2">
        <v>40.5</v>
      </c>
      <c r="K31" s="2">
        <v>277</v>
      </c>
      <c r="L31" s="2">
        <v>190</v>
      </c>
      <c r="M31" s="2">
        <v>9.9</v>
      </c>
      <c r="N31" s="2">
        <v>10.6</v>
      </c>
      <c r="O31" s="2">
        <v>11.5</v>
      </c>
      <c r="P31" s="2">
        <v>12.4</v>
      </c>
      <c r="Q31" s="2">
        <v>3325</v>
      </c>
      <c r="R31" s="2">
        <v>75</v>
      </c>
      <c r="S31" s="2">
        <v>72</v>
      </c>
      <c r="T31" s="2">
        <v>340</v>
      </c>
      <c r="U31" s="2">
        <v>1160</v>
      </c>
      <c r="V31" s="2">
        <v>3.94</v>
      </c>
      <c r="W31" s="2">
        <v>51</v>
      </c>
      <c r="X31" s="2">
        <v>5.3999999999999999E-2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0741-C1F6-4A20-9303-ED7EBE591C2A}">
  <dimension ref="A1:X31"/>
  <sheetViews>
    <sheetView topLeftCell="B6" workbookViewId="0">
      <selection activeCell="B2" sqref="B2:X31"/>
    </sheetView>
  </sheetViews>
  <sheetFormatPr defaultRowHeight="14.4" x14ac:dyDescent="0.3"/>
  <sheetData>
    <row r="1" spans="1:24" x14ac:dyDescent="0.3">
      <c r="A1" t="s">
        <v>40</v>
      </c>
      <c r="B1" t="s">
        <v>42</v>
      </c>
      <c r="C1" s="3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</row>
    <row r="2" spans="1:24" x14ac:dyDescent="0.3">
      <c r="A2">
        <v>1</v>
      </c>
      <c r="B2" t="s">
        <v>90</v>
      </c>
      <c r="C2" s="2" t="s">
        <v>82</v>
      </c>
      <c r="D2" s="2">
        <v>36</v>
      </c>
      <c r="E2" s="2">
        <v>76</v>
      </c>
      <c r="F2" s="2">
        <v>174</v>
      </c>
      <c r="G2" s="2">
        <v>14.2</v>
      </c>
      <c r="H2" s="2">
        <v>13.9</v>
      </c>
      <c r="I2" s="2">
        <v>42.4</v>
      </c>
      <c r="J2" s="2">
        <v>41.2</v>
      </c>
      <c r="K2" s="2">
        <v>330</v>
      </c>
      <c r="L2" s="2">
        <v>274</v>
      </c>
      <c r="M2" s="2">
        <v>8.3000000000000007</v>
      </c>
      <c r="N2" s="2">
        <v>8.8000000000000007</v>
      </c>
      <c r="O2" s="2">
        <v>9.6</v>
      </c>
      <c r="P2" s="2">
        <v>10.5</v>
      </c>
      <c r="Q2" s="2">
        <v>1892</v>
      </c>
      <c r="R2" s="2">
        <v>96</v>
      </c>
      <c r="S2" s="2">
        <v>39</v>
      </c>
      <c r="T2" s="2">
        <v>261</v>
      </c>
      <c r="U2" s="2">
        <v>1560</v>
      </c>
      <c r="V2" s="2">
        <v>4.07</v>
      </c>
      <c r="W2" s="2">
        <v>89.38</v>
      </c>
      <c r="X2" s="2">
        <v>0.1</v>
      </c>
    </row>
    <row r="3" spans="1:24" x14ac:dyDescent="0.3">
      <c r="A3">
        <v>2</v>
      </c>
      <c r="B3" s="2" t="s">
        <v>90</v>
      </c>
      <c r="C3" s="2" t="s">
        <v>83</v>
      </c>
      <c r="D3" s="2">
        <v>30</v>
      </c>
      <c r="E3" s="2">
        <v>72</v>
      </c>
      <c r="F3" s="2">
        <v>165</v>
      </c>
      <c r="G3" s="2">
        <v>15.3</v>
      </c>
      <c r="H3" s="2">
        <v>14.8</v>
      </c>
      <c r="I3" s="2">
        <v>41.7</v>
      </c>
      <c r="J3" s="2">
        <v>41</v>
      </c>
      <c r="K3" s="2">
        <v>174</v>
      </c>
      <c r="L3" s="2">
        <v>125</v>
      </c>
      <c r="M3" s="2">
        <v>11.8</v>
      </c>
      <c r="N3" s="2">
        <v>12.6</v>
      </c>
      <c r="O3" s="2">
        <v>17.7</v>
      </c>
      <c r="P3" s="2">
        <v>18.5</v>
      </c>
      <c r="Q3" s="2">
        <v>3598</v>
      </c>
      <c r="R3" s="2">
        <v>92</v>
      </c>
      <c r="S3" s="2">
        <v>77</v>
      </c>
      <c r="T3" s="2">
        <v>262</v>
      </c>
      <c r="U3" s="2">
        <v>1466</v>
      </c>
      <c r="V3" s="2">
        <v>3.84</v>
      </c>
      <c r="W3" s="2">
        <v>70.47</v>
      </c>
      <c r="X3" s="2">
        <v>4.9000000000000002E-2</v>
      </c>
    </row>
    <row r="4" spans="1:24" x14ac:dyDescent="0.3">
      <c r="A4">
        <v>3</v>
      </c>
      <c r="B4" s="2" t="s">
        <v>90</v>
      </c>
      <c r="C4" s="2" t="s">
        <v>84</v>
      </c>
      <c r="D4" s="2">
        <v>29</v>
      </c>
      <c r="E4" s="2">
        <v>77</v>
      </c>
      <c r="F4" s="2">
        <v>176</v>
      </c>
      <c r="G4" s="2">
        <v>14.3</v>
      </c>
      <c r="H4" s="2">
        <v>14.8</v>
      </c>
      <c r="I4" s="2">
        <v>42</v>
      </c>
      <c r="J4" s="2">
        <v>43.1</v>
      </c>
      <c r="K4" s="2">
        <v>252</v>
      </c>
      <c r="L4" s="2">
        <v>164</v>
      </c>
      <c r="M4" s="2">
        <v>11.9</v>
      </c>
      <c r="N4" s="2">
        <v>11.9</v>
      </c>
      <c r="O4" s="2">
        <v>16.100000000000001</v>
      </c>
      <c r="P4" s="2">
        <v>17.3</v>
      </c>
      <c r="Q4" s="2">
        <v>2428</v>
      </c>
      <c r="R4" s="2">
        <v>100</v>
      </c>
      <c r="S4" s="2">
        <v>48</v>
      </c>
      <c r="T4" s="2">
        <v>263</v>
      </c>
      <c r="U4" s="2">
        <v>1738</v>
      </c>
      <c r="V4" s="2">
        <v>4.57</v>
      </c>
      <c r="W4" s="2">
        <v>96.79</v>
      </c>
      <c r="X4" s="2">
        <v>9.5000000000000001E-2</v>
      </c>
    </row>
    <row r="5" spans="1:24" x14ac:dyDescent="0.3">
      <c r="A5" s="2">
        <v>4</v>
      </c>
      <c r="B5" s="2" t="s">
        <v>90</v>
      </c>
      <c r="C5" s="2" t="s">
        <v>85</v>
      </c>
      <c r="D5" s="2">
        <v>26</v>
      </c>
      <c r="E5" s="2">
        <v>66</v>
      </c>
      <c r="F5" s="2">
        <v>168</v>
      </c>
      <c r="G5" s="2">
        <v>14.6</v>
      </c>
      <c r="H5" s="2">
        <v>14</v>
      </c>
      <c r="I5" s="2">
        <v>39.4</v>
      </c>
      <c r="J5" s="2">
        <v>38.200000000000003</v>
      </c>
      <c r="K5" s="2">
        <v>215</v>
      </c>
      <c r="L5" s="2">
        <v>166</v>
      </c>
      <c r="M5" s="2">
        <v>8.8000000000000007</v>
      </c>
      <c r="N5" s="2">
        <v>9.5</v>
      </c>
      <c r="O5" s="2">
        <v>9.5</v>
      </c>
      <c r="P5" s="2">
        <v>10.7</v>
      </c>
      <c r="Q5" s="2">
        <v>2842</v>
      </c>
      <c r="R5" s="2">
        <v>92</v>
      </c>
      <c r="S5" s="2">
        <v>61</v>
      </c>
      <c r="T5" s="2">
        <v>260</v>
      </c>
      <c r="U5" s="2">
        <v>1590</v>
      </c>
      <c r="V5" s="2">
        <v>4.13</v>
      </c>
      <c r="W5" s="2">
        <v>79.83</v>
      </c>
      <c r="X5" s="2">
        <v>6.7000000000000004E-2</v>
      </c>
    </row>
    <row r="6" spans="1:24" x14ac:dyDescent="0.3">
      <c r="A6" s="2">
        <v>5</v>
      </c>
      <c r="B6" s="2" t="s">
        <v>90</v>
      </c>
      <c r="C6" s="2" t="s">
        <v>86</v>
      </c>
      <c r="D6" s="2">
        <v>25</v>
      </c>
      <c r="E6" s="2">
        <v>65</v>
      </c>
      <c r="F6" s="2">
        <v>168</v>
      </c>
      <c r="G6" s="2">
        <v>15.9</v>
      </c>
      <c r="H6" s="2">
        <v>15.1</v>
      </c>
      <c r="I6" s="2">
        <v>47.6</v>
      </c>
      <c r="J6" s="2">
        <v>45.5</v>
      </c>
      <c r="K6" s="2">
        <v>310</v>
      </c>
      <c r="L6" s="2">
        <v>242</v>
      </c>
      <c r="M6" s="2">
        <v>10</v>
      </c>
      <c r="N6" s="2">
        <v>10.3</v>
      </c>
      <c r="O6" s="2">
        <v>13.4</v>
      </c>
      <c r="P6" s="2">
        <v>13.5</v>
      </c>
      <c r="Q6" s="2">
        <v>1625</v>
      </c>
      <c r="R6" s="2">
        <v>82</v>
      </c>
      <c r="S6" s="2">
        <v>39</v>
      </c>
      <c r="T6" s="2">
        <v>262</v>
      </c>
      <c r="U6" s="2">
        <v>1238</v>
      </c>
      <c r="V6" s="2">
        <v>3.24</v>
      </c>
      <c r="W6" s="2">
        <v>76.69</v>
      </c>
      <c r="X6" s="2">
        <v>8.3000000000000004E-2</v>
      </c>
    </row>
    <row r="7" spans="1:24" x14ac:dyDescent="0.3">
      <c r="A7" s="2">
        <v>6</v>
      </c>
      <c r="B7" s="2" t="s">
        <v>90</v>
      </c>
      <c r="C7" s="2" t="s">
        <v>69</v>
      </c>
      <c r="D7" s="2">
        <v>26</v>
      </c>
      <c r="E7" s="2">
        <v>77</v>
      </c>
      <c r="F7" s="2">
        <v>172</v>
      </c>
      <c r="G7" s="2">
        <v>14.7</v>
      </c>
      <c r="H7" s="2">
        <v>14.2</v>
      </c>
      <c r="I7" s="2">
        <v>43.5</v>
      </c>
      <c r="J7" s="2">
        <v>42.7</v>
      </c>
      <c r="K7" s="2">
        <v>231</v>
      </c>
      <c r="L7" s="2">
        <v>178</v>
      </c>
      <c r="M7" s="2">
        <v>11.8</v>
      </c>
      <c r="N7" s="2">
        <v>12.3</v>
      </c>
      <c r="O7" s="2">
        <v>17.2</v>
      </c>
      <c r="P7" s="2">
        <v>18</v>
      </c>
      <c r="Q7" s="2">
        <v>2578</v>
      </c>
      <c r="R7" s="2">
        <v>98</v>
      </c>
      <c r="S7" s="2">
        <v>52</v>
      </c>
      <c r="T7" s="2">
        <v>260</v>
      </c>
      <c r="U7" s="2">
        <v>1682</v>
      </c>
      <c r="V7" s="2">
        <v>4.37</v>
      </c>
      <c r="W7" s="2">
        <v>97.11</v>
      </c>
      <c r="X7" s="2">
        <v>8.4000000000000005E-2</v>
      </c>
    </row>
    <row r="8" spans="1:24" x14ac:dyDescent="0.3">
      <c r="A8" s="2">
        <v>7</v>
      </c>
      <c r="B8" s="2" t="s">
        <v>90</v>
      </c>
      <c r="C8" s="2" t="s">
        <v>14</v>
      </c>
      <c r="D8" s="2">
        <v>24</v>
      </c>
      <c r="E8" s="2">
        <v>83</v>
      </c>
      <c r="F8" s="2">
        <v>175</v>
      </c>
      <c r="G8" s="2">
        <v>12.7</v>
      </c>
      <c r="H8" s="2">
        <v>12.3</v>
      </c>
      <c r="I8" s="2">
        <v>38.299999999999997</v>
      </c>
      <c r="J8" s="2">
        <v>37.5</v>
      </c>
      <c r="K8" s="2">
        <v>325</v>
      </c>
      <c r="L8" s="2">
        <v>262</v>
      </c>
      <c r="M8" s="2">
        <v>9.6</v>
      </c>
      <c r="N8" s="2">
        <v>9.4</v>
      </c>
      <c r="O8" s="2">
        <v>11</v>
      </c>
      <c r="P8" s="2">
        <v>11.4</v>
      </c>
      <c r="Q8" s="2">
        <v>1909</v>
      </c>
      <c r="R8" s="2">
        <v>96</v>
      </c>
      <c r="S8" s="2">
        <v>39</v>
      </c>
      <c r="T8" s="2">
        <v>283</v>
      </c>
      <c r="U8" s="2">
        <v>1524</v>
      </c>
      <c r="V8" s="2">
        <v>4.3099999999999996</v>
      </c>
      <c r="W8" s="2">
        <v>89.09</v>
      </c>
      <c r="X8" s="2">
        <v>0.11</v>
      </c>
    </row>
    <row r="9" spans="1:24" x14ac:dyDescent="0.3">
      <c r="A9" s="2">
        <v>8</v>
      </c>
      <c r="B9" s="2" t="s">
        <v>90</v>
      </c>
      <c r="C9" s="2" t="s">
        <v>87</v>
      </c>
      <c r="D9" s="2">
        <v>28</v>
      </c>
      <c r="E9" s="2">
        <v>92</v>
      </c>
      <c r="F9" s="2">
        <v>180</v>
      </c>
      <c r="G9" s="2">
        <v>15.2</v>
      </c>
      <c r="H9" s="2">
        <v>14.7</v>
      </c>
      <c r="I9" s="2">
        <v>45.5</v>
      </c>
      <c r="J9" s="2">
        <v>44.9</v>
      </c>
      <c r="K9" s="2">
        <v>306</v>
      </c>
      <c r="L9" s="2">
        <v>264</v>
      </c>
      <c r="M9" s="2">
        <v>9.5</v>
      </c>
      <c r="N9" s="2">
        <v>9.9</v>
      </c>
      <c r="O9" s="2">
        <v>11</v>
      </c>
      <c r="P9" s="2">
        <v>12.6</v>
      </c>
      <c r="Q9" s="2">
        <v>1991</v>
      </c>
      <c r="R9" s="2">
        <v>98</v>
      </c>
      <c r="S9" s="2">
        <v>40</v>
      </c>
      <c r="T9" s="2">
        <v>282</v>
      </c>
      <c r="U9" s="2">
        <v>1563</v>
      </c>
      <c r="V9" s="2">
        <v>4.4000000000000004</v>
      </c>
      <c r="W9" s="2">
        <v>82.06</v>
      </c>
      <c r="X9" s="2">
        <v>0.11</v>
      </c>
    </row>
    <row r="10" spans="1:24" x14ac:dyDescent="0.3">
      <c r="A10" s="2">
        <v>9</v>
      </c>
      <c r="B10" s="2" t="s">
        <v>90</v>
      </c>
      <c r="C10" s="2" t="s">
        <v>88</v>
      </c>
      <c r="D10" s="2">
        <v>21</v>
      </c>
      <c r="E10" s="2">
        <v>62</v>
      </c>
      <c r="F10" s="2">
        <v>171</v>
      </c>
      <c r="G10" s="2">
        <v>15.4</v>
      </c>
      <c r="H10" s="2">
        <v>15.1</v>
      </c>
      <c r="I10" s="2">
        <v>46.1</v>
      </c>
      <c r="J10" s="2">
        <v>44.8</v>
      </c>
      <c r="K10" s="2">
        <v>316</v>
      </c>
      <c r="L10" s="2">
        <v>208</v>
      </c>
      <c r="M10" s="2">
        <v>7.4</v>
      </c>
      <c r="N10" s="2">
        <v>7.7</v>
      </c>
      <c r="O10" s="2">
        <v>7.9</v>
      </c>
      <c r="P10" s="2">
        <v>8.1</v>
      </c>
      <c r="Q10" s="2">
        <v>2011</v>
      </c>
      <c r="R10" s="2">
        <v>88</v>
      </c>
      <c r="S10" s="2">
        <v>45</v>
      </c>
      <c r="T10" s="2">
        <v>262</v>
      </c>
      <c r="U10" s="2">
        <v>1699</v>
      </c>
      <c r="V10" s="2">
        <v>4.45</v>
      </c>
      <c r="W10" s="2">
        <v>97.94</v>
      </c>
      <c r="X10" s="2">
        <v>0.09</v>
      </c>
    </row>
    <row r="11" spans="1:24" x14ac:dyDescent="0.3">
      <c r="A11" s="2">
        <v>10</v>
      </c>
      <c r="B11" s="2" t="s">
        <v>90</v>
      </c>
      <c r="C11" s="2" t="s">
        <v>89</v>
      </c>
      <c r="D11" s="2">
        <v>42</v>
      </c>
      <c r="E11" s="2">
        <v>75</v>
      </c>
      <c r="F11" s="2">
        <v>172</v>
      </c>
      <c r="G11" s="2">
        <v>12.8</v>
      </c>
      <c r="H11" s="2">
        <v>12</v>
      </c>
      <c r="I11" s="2">
        <v>40.5</v>
      </c>
      <c r="J11" s="2">
        <v>39</v>
      </c>
      <c r="K11" s="2">
        <v>331</v>
      </c>
      <c r="L11" s="2">
        <v>273</v>
      </c>
      <c r="M11" s="2">
        <v>9.1999999999999993</v>
      </c>
      <c r="N11" s="2">
        <v>9.6</v>
      </c>
      <c r="O11" s="2">
        <v>10.7</v>
      </c>
      <c r="P11" s="2">
        <v>11</v>
      </c>
      <c r="Q11" s="2">
        <v>1881</v>
      </c>
      <c r="R11" s="2">
        <v>94</v>
      </c>
      <c r="S11" s="2">
        <v>40</v>
      </c>
      <c r="T11" s="2">
        <v>260</v>
      </c>
      <c r="U11" s="2">
        <v>1791</v>
      </c>
      <c r="V11" s="2">
        <v>4.6500000000000004</v>
      </c>
      <c r="W11" s="2">
        <v>98.39</v>
      </c>
      <c r="X11" s="2">
        <v>0.11</v>
      </c>
    </row>
    <row r="12" spans="1:24" x14ac:dyDescent="0.3">
      <c r="A12" s="2">
        <v>11</v>
      </c>
      <c r="B12" s="2" t="s">
        <v>90</v>
      </c>
      <c r="C12" s="2">
        <v>11</v>
      </c>
      <c r="D12" s="2">
        <v>32</v>
      </c>
      <c r="E12" s="2">
        <v>75</v>
      </c>
      <c r="F12" s="2">
        <v>170</v>
      </c>
      <c r="G12" s="2">
        <v>15</v>
      </c>
      <c r="H12" s="2">
        <v>14.5</v>
      </c>
      <c r="I12" s="2">
        <v>42</v>
      </c>
      <c r="J12" s="2">
        <v>41</v>
      </c>
      <c r="K12" s="2">
        <v>260</v>
      </c>
      <c r="L12" s="2">
        <v>200</v>
      </c>
      <c r="M12" s="2">
        <v>10.5</v>
      </c>
      <c r="N12" s="2">
        <v>11</v>
      </c>
      <c r="O12" s="2">
        <v>12</v>
      </c>
      <c r="P12" s="2">
        <v>12.5</v>
      </c>
      <c r="Q12" s="2">
        <v>2500</v>
      </c>
      <c r="R12" s="2">
        <v>82</v>
      </c>
      <c r="S12" s="2">
        <v>60</v>
      </c>
      <c r="T12" s="2">
        <v>270</v>
      </c>
      <c r="U12" s="2">
        <v>1500</v>
      </c>
      <c r="V12" s="2">
        <v>3.9</v>
      </c>
      <c r="W12" s="2">
        <v>78</v>
      </c>
      <c r="X12" s="2">
        <v>6.5000000000000002E-2</v>
      </c>
    </row>
    <row r="13" spans="1:24" x14ac:dyDescent="0.3">
      <c r="A13" s="2">
        <v>12</v>
      </c>
      <c r="B13" s="2" t="s">
        <v>90</v>
      </c>
      <c r="C13" s="2">
        <v>12</v>
      </c>
      <c r="D13" s="2">
        <v>29</v>
      </c>
      <c r="E13" s="2">
        <v>68</v>
      </c>
      <c r="F13" s="2">
        <v>165</v>
      </c>
      <c r="G13" s="2">
        <v>14.8</v>
      </c>
      <c r="H13" s="2">
        <v>14.2</v>
      </c>
      <c r="I13" s="2">
        <v>40.5</v>
      </c>
      <c r="J13" s="2">
        <v>39.5</v>
      </c>
      <c r="K13" s="2">
        <v>240</v>
      </c>
      <c r="L13" s="2">
        <v>180</v>
      </c>
      <c r="M13" s="2">
        <v>9.8000000000000007</v>
      </c>
      <c r="N13" s="2">
        <v>10.199999999999999</v>
      </c>
      <c r="O13" s="2">
        <v>11.5</v>
      </c>
      <c r="P13" s="2">
        <v>12</v>
      </c>
      <c r="Q13" s="2">
        <v>2600</v>
      </c>
      <c r="R13" s="2">
        <v>82</v>
      </c>
      <c r="S13" s="2">
        <v>62</v>
      </c>
      <c r="T13" s="2">
        <v>265</v>
      </c>
      <c r="U13" s="2">
        <v>1550</v>
      </c>
      <c r="V13" s="2">
        <v>4.0999999999999996</v>
      </c>
      <c r="W13" s="2">
        <v>80.5</v>
      </c>
      <c r="X13" s="2">
        <v>0.06</v>
      </c>
    </row>
    <row r="14" spans="1:24" x14ac:dyDescent="0.3">
      <c r="A14" s="2">
        <v>13</v>
      </c>
      <c r="B14" s="2" t="s">
        <v>90</v>
      </c>
      <c r="C14" s="2">
        <v>13</v>
      </c>
      <c r="D14" s="2">
        <v>35</v>
      </c>
      <c r="E14" s="2">
        <v>80</v>
      </c>
      <c r="F14" s="2">
        <v>175</v>
      </c>
      <c r="G14" s="2">
        <v>15.5</v>
      </c>
      <c r="H14" s="2">
        <v>15</v>
      </c>
      <c r="I14" s="2">
        <v>43</v>
      </c>
      <c r="J14" s="2">
        <v>42</v>
      </c>
      <c r="K14" s="2">
        <v>280</v>
      </c>
      <c r="L14" s="2">
        <v>220</v>
      </c>
      <c r="M14" s="2">
        <v>10.199999999999999</v>
      </c>
      <c r="N14" s="2">
        <v>10.7</v>
      </c>
      <c r="O14" s="2">
        <v>13</v>
      </c>
      <c r="P14" s="2">
        <v>13.5</v>
      </c>
      <c r="Q14" s="2">
        <v>2700</v>
      </c>
      <c r="R14" s="2">
        <v>82</v>
      </c>
      <c r="S14" s="2">
        <v>65</v>
      </c>
      <c r="T14" s="2">
        <v>275</v>
      </c>
      <c r="U14" s="2">
        <v>1600</v>
      </c>
      <c r="V14" s="2">
        <v>4.2</v>
      </c>
      <c r="W14" s="2">
        <v>81</v>
      </c>
      <c r="X14" s="2">
        <v>6.4000000000000001E-2</v>
      </c>
    </row>
    <row r="15" spans="1:24" x14ac:dyDescent="0.3">
      <c r="A15" s="2">
        <v>14</v>
      </c>
      <c r="B15" s="2" t="s">
        <v>90</v>
      </c>
      <c r="C15" s="2">
        <v>14</v>
      </c>
      <c r="D15" s="2">
        <v>27</v>
      </c>
      <c r="E15" s="2">
        <v>70</v>
      </c>
      <c r="F15" s="2">
        <v>168</v>
      </c>
      <c r="G15" s="2">
        <v>14.9</v>
      </c>
      <c r="H15" s="2">
        <v>14.4</v>
      </c>
      <c r="I15" s="2">
        <v>41</v>
      </c>
      <c r="J15" s="2">
        <v>40</v>
      </c>
      <c r="K15" s="2">
        <v>250</v>
      </c>
      <c r="L15" s="2">
        <v>190</v>
      </c>
      <c r="M15" s="2">
        <v>9.5</v>
      </c>
      <c r="N15" s="2">
        <v>10</v>
      </c>
      <c r="O15" s="2">
        <v>10.5</v>
      </c>
      <c r="P15" s="2">
        <v>11</v>
      </c>
      <c r="Q15" s="2">
        <v>2550</v>
      </c>
      <c r="R15" s="2">
        <v>86</v>
      </c>
      <c r="S15" s="2">
        <v>58</v>
      </c>
      <c r="T15" s="2">
        <v>260</v>
      </c>
      <c r="U15" s="2">
        <v>1450</v>
      </c>
      <c r="V15" s="2">
        <v>3.8</v>
      </c>
      <c r="W15" s="2">
        <v>77.5</v>
      </c>
      <c r="X15" s="2">
        <v>6.5000000000000002E-2</v>
      </c>
    </row>
    <row r="16" spans="1:24" x14ac:dyDescent="0.3">
      <c r="A16" s="2">
        <v>15</v>
      </c>
      <c r="B16" s="2" t="s">
        <v>90</v>
      </c>
      <c r="C16" s="2">
        <v>15</v>
      </c>
      <c r="D16" s="2">
        <v>31</v>
      </c>
      <c r="E16" s="2">
        <v>74</v>
      </c>
      <c r="F16" s="2">
        <v>172</v>
      </c>
      <c r="G16" s="2">
        <v>15.2</v>
      </c>
      <c r="H16" s="2">
        <v>14.7</v>
      </c>
      <c r="I16" s="2">
        <v>42.5</v>
      </c>
      <c r="J16" s="2">
        <v>41.5</v>
      </c>
      <c r="K16" s="2">
        <v>270</v>
      </c>
      <c r="L16" s="2">
        <v>210</v>
      </c>
      <c r="M16" s="2">
        <v>10</v>
      </c>
      <c r="N16" s="2">
        <v>10.5</v>
      </c>
      <c r="O16" s="2">
        <v>12.5</v>
      </c>
      <c r="P16" s="2">
        <v>13</v>
      </c>
      <c r="Q16" s="2">
        <v>2650</v>
      </c>
      <c r="R16" s="2">
        <v>84</v>
      </c>
      <c r="S16" s="2">
        <v>63</v>
      </c>
      <c r="T16" s="2">
        <v>268</v>
      </c>
      <c r="U16" s="2">
        <v>1520</v>
      </c>
      <c r="V16" s="2">
        <v>4</v>
      </c>
      <c r="W16" s="2">
        <v>79</v>
      </c>
      <c r="X16" s="2">
        <v>0.06</v>
      </c>
    </row>
    <row r="17" spans="1:24" x14ac:dyDescent="0.3">
      <c r="A17" s="2">
        <v>16</v>
      </c>
      <c r="B17" s="2" t="s">
        <v>90</v>
      </c>
      <c r="C17" s="3">
        <v>16</v>
      </c>
      <c r="D17" s="2">
        <v>31</v>
      </c>
      <c r="E17" s="2">
        <v>75</v>
      </c>
      <c r="F17" s="2">
        <v>169</v>
      </c>
      <c r="G17" s="2">
        <v>14.7</v>
      </c>
      <c r="H17" s="2">
        <v>14.3</v>
      </c>
      <c r="I17" s="2">
        <v>42.1</v>
      </c>
      <c r="J17" s="2">
        <v>41.5</v>
      </c>
      <c r="K17" s="2">
        <v>210</v>
      </c>
      <c r="L17" s="2">
        <v>165</v>
      </c>
      <c r="M17" s="2">
        <v>10.199999999999999</v>
      </c>
      <c r="N17" s="2">
        <v>11</v>
      </c>
      <c r="O17" s="2">
        <v>15</v>
      </c>
      <c r="P17" s="2">
        <v>16.2</v>
      </c>
      <c r="Q17" s="2">
        <v>2890</v>
      </c>
      <c r="R17" s="2">
        <v>90</v>
      </c>
      <c r="S17" s="2">
        <v>63</v>
      </c>
      <c r="T17" s="2">
        <v>263</v>
      </c>
      <c r="U17" s="2">
        <v>1510</v>
      </c>
      <c r="V17" s="2">
        <v>4.05</v>
      </c>
      <c r="W17" s="2">
        <v>77.5</v>
      </c>
      <c r="X17" s="2">
        <v>6.4000000000000001E-2</v>
      </c>
    </row>
    <row r="18" spans="1:24" x14ac:dyDescent="0.3">
      <c r="A18" s="2">
        <v>17</v>
      </c>
      <c r="B18" s="2" t="s">
        <v>90</v>
      </c>
      <c r="C18" s="3">
        <v>17</v>
      </c>
      <c r="D18" s="2">
        <v>29</v>
      </c>
      <c r="E18" s="2">
        <v>80</v>
      </c>
      <c r="F18" s="2">
        <v>173</v>
      </c>
      <c r="G18" s="2">
        <v>15.4</v>
      </c>
      <c r="H18" s="2">
        <v>14.8</v>
      </c>
      <c r="I18" s="2">
        <v>43.5</v>
      </c>
      <c r="J18" s="2">
        <v>42</v>
      </c>
      <c r="K18" s="2">
        <v>250</v>
      </c>
      <c r="L18" s="2">
        <v>200</v>
      </c>
      <c r="M18" s="2">
        <v>9.5</v>
      </c>
      <c r="N18" s="2">
        <v>10.5</v>
      </c>
      <c r="O18" s="2">
        <v>13.5</v>
      </c>
      <c r="P18" s="2">
        <v>14</v>
      </c>
      <c r="Q18" s="2">
        <v>3000</v>
      </c>
      <c r="R18" s="2">
        <v>84</v>
      </c>
      <c r="S18" s="2">
        <v>70</v>
      </c>
      <c r="T18" s="2">
        <v>270</v>
      </c>
      <c r="U18" s="2">
        <v>1445</v>
      </c>
      <c r="V18" s="2">
        <v>3.8</v>
      </c>
      <c r="W18" s="2">
        <v>75.8</v>
      </c>
      <c r="X18" s="2">
        <v>0.05</v>
      </c>
    </row>
    <row r="19" spans="1:24" x14ac:dyDescent="0.3">
      <c r="A19" s="2">
        <v>18</v>
      </c>
      <c r="B19" s="2" t="s">
        <v>90</v>
      </c>
      <c r="C19" s="3">
        <v>18</v>
      </c>
      <c r="D19" s="2">
        <v>27</v>
      </c>
      <c r="E19" s="2">
        <v>72</v>
      </c>
      <c r="F19" s="2">
        <v>176</v>
      </c>
      <c r="G19" s="2">
        <v>15.1</v>
      </c>
      <c r="H19" s="2">
        <v>14.6</v>
      </c>
      <c r="I19" s="2">
        <v>40.5</v>
      </c>
      <c r="J19" s="2">
        <v>41.2</v>
      </c>
      <c r="K19" s="2">
        <v>185</v>
      </c>
      <c r="L19" s="2">
        <v>145</v>
      </c>
      <c r="M19" s="2">
        <v>10.8</v>
      </c>
      <c r="N19" s="2">
        <v>10.8</v>
      </c>
      <c r="O19" s="2">
        <v>12.2</v>
      </c>
      <c r="P19" s="2">
        <v>13.5</v>
      </c>
      <c r="Q19" s="2">
        <v>3200</v>
      </c>
      <c r="R19" s="2">
        <v>54</v>
      </c>
      <c r="S19" s="2">
        <v>59</v>
      </c>
      <c r="T19" s="2">
        <v>258</v>
      </c>
      <c r="U19" s="2">
        <v>1400</v>
      </c>
      <c r="V19" s="2">
        <v>4.2</v>
      </c>
      <c r="W19" s="2">
        <v>78.3</v>
      </c>
      <c r="X19" s="2">
        <v>7.0999999999999994E-2</v>
      </c>
    </row>
    <row r="20" spans="1:24" x14ac:dyDescent="0.3">
      <c r="A20" s="2">
        <v>19</v>
      </c>
      <c r="B20" s="2" t="s">
        <v>90</v>
      </c>
      <c r="C20" s="3">
        <v>19</v>
      </c>
      <c r="D20" s="2">
        <v>32</v>
      </c>
      <c r="E20" s="2">
        <v>66</v>
      </c>
      <c r="F20" s="2">
        <v>165</v>
      </c>
      <c r="G20" s="2">
        <v>14.9</v>
      </c>
      <c r="H20" s="2">
        <v>14.5</v>
      </c>
      <c r="I20" s="2">
        <v>44.2</v>
      </c>
      <c r="J20" s="2">
        <v>43.5</v>
      </c>
      <c r="K20" s="2">
        <v>220</v>
      </c>
      <c r="L20" s="2">
        <v>175</v>
      </c>
      <c r="M20" s="2">
        <v>10</v>
      </c>
      <c r="N20" s="2">
        <v>10.1</v>
      </c>
      <c r="O20" s="2">
        <v>14</v>
      </c>
      <c r="P20" s="2">
        <v>14.7</v>
      </c>
      <c r="Q20" s="2">
        <v>3100</v>
      </c>
      <c r="R20" s="2">
        <v>92</v>
      </c>
      <c r="S20" s="2">
        <v>66</v>
      </c>
      <c r="T20" s="2">
        <v>265</v>
      </c>
      <c r="U20" s="2">
        <v>1550</v>
      </c>
      <c r="V20" s="2">
        <v>4</v>
      </c>
      <c r="W20" s="2">
        <v>79</v>
      </c>
      <c r="X20" s="2">
        <v>0.06</v>
      </c>
    </row>
    <row r="21" spans="1:24" x14ac:dyDescent="0.3">
      <c r="A21" s="2">
        <v>20</v>
      </c>
      <c r="B21" s="2" t="s">
        <v>90</v>
      </c>
      <c r="C21" s="3">
        <v>20</v>
      </c>
      <c r="D21" s="2">
        <v>28</v>
      </c>
      <c r="E21" s="2">
        <v>68</v>
      </c>
      <c r="F21" s="2">
        <v>171</v>
      </c>
      <c r="G21" s="2">
        <v>15</v>
      </c>
      <c r="H21" s="2">
        <v>14.2</v>
      </c>
      <c r="I21" s="2">
        <v>41.5</v>
      </c>
      <c r="J21" s="2">
        <v>41</v>
      </c>
      <c r="K21" s="2">
        <v>240</v>
      </c>
      <c r="L21" s="2">
        <v>160</v>
      </c>
      <c r="M21" s="2">
        <v>9.9</v>
      </c>
      <c r="N21" s="2">
        <v>10.4</v>
      </c>
      <c r="O21" s="2">
        <v>13.5</v>
      </c>
      <c r="P21" s="2">
        <v>13.8</v>
      </c>
      <c r="Q21" s="2">
        <v>2700</v>
      </c>
      <c r="R21" s="2">
        <v>86</v>
      </c>
      <c r="S21" s="2">
        <v>62</v>
      </c>
      <c r="T21" s="2">
        <v>272</v>
      </c>
      <c r="U21" s="2">
        <v>1600</v>
      </c>
      <c r="V21" s="2">
        <v>3.95</v>
      </c>
      <c r="W21" s="2">
        <v>76.8</v>
      </c>
      <c r="X21" s="2">
        <v>6.3E-2</v>
      </c>
    </row>
    <row r="22" spans="1:24" x14ac:dyDescent="0.3">
      <c r="A22" s="2">
        <v>21</v>
      </c>
      <c r="B22" s="2" t="s">
        <v>90</v>
      </c>
      <c r="C22" s="3">
        <v>21</v>
      </c>
      <c r="D22" s="2">
        <v>34</v>
      </c>
      <c r="E22" s="2">
        <v>70</v>
      </c>
      <c r="F22" s="2">
        <v>170</v>
      </c>
      <c r="G22" s="2">
        <v>14.6</v>
      </c>
      <c r="H22" s="2">
        <v>14.7</v>
      </c>
      <c r="I22" s="2">
        <v>43</v>
      </c>
      <c r="J22" s="2">
        <v>42.3</v>
      </c>
      <c r="K22" s="2">
        <v>215</v>
      </c>
      <c r="L22" s="2">
        <v>180</v>
      </c>
      <c r="M22" s="2">
        <v>10.1</v>
      </c>
      <c r="N22" s="2">
        <v>11</v>
      </c>
      <c r="O22" s="2">
        <v>12.5</v>
      </c>
      <c r="P22" s="2">
        <v>14.2</v>
      </c>
      <c r="Q22" s="2">
        <v>2950</v>
      </c>
      <c r="R22" s="2">
        <v>86</v>
      </c>
      <c r="S22" s="2">
        <v>68</v>
      </c>
      <c r="T22" s="2">
        <v>265</v>
      </c>
      <c r="U22" s="2">
        <v>1500</v>
      </c>
      <c r="V22" s="2">
        <v>3.8</v>
      </c>
      <c r="W22" s="2">
        <v>78.5</v>
      </c>
      <c r="X22" s="2">
        <v>5.5E-2</v>
      </c>
    </row>
    <row r="23" spans="1:24" x14ac:dyDescent="0.3">
      <c r="A23" s="2">
        <v>22</v>
      </c>
      <c r="B23" s="2" t="s">
        <v>90</v>
      </c>
      <c r="C23" s="3">
        <v>22</v>
      </c>
      <c r="D23" s="2">
        <v>29</v>
      </c>
      <c r="E23" s="2">
        <v>65</v>
      </c>
      <c r="F23" s="2">
        <v>174</v>
      </c>
      <c r="G23" s="2">
        <v>15.3</v>
      </c>
      <c r="H23" s="2">
        <v>14.6</v>
      </c>
      <c r="I23" s="2">
        <v>42.8</v>
      </c>
      <c r="J23" s="2">
        <v>42.4</v>
      </c>
      <c r="K23" s="2">
        <v>230</v>
      </c>
      <c r="L23" s="2">
        <v>155</v>
      </c>
      <c r="M23" s="2">
        <v>10.3</v>
      </c>
      <c r="N23" s="2">
        <v>10.9</v>
      </c>
      <c r="O23" s="2">
        <v>14</v>
      </c>
      <c r="P23" s="2">
        <v>14.5</v>
      </c>
      <c r="Q23" s="2">
        <v>2850</v>
      </c>
      <c r="R23" s="2">
        <v>80</v>
      </c>
      <c r="S23" s="2">
        <v>71</v>
      </c>
      <c r="T23" s="2">
        <v>280</v>
      </c>
      <c r="U23" s="2">
        <v>1480</v>
      </c>
      <c r="V23" s="2">
        <v>4.1500000000000004</v>
      </c>
      <c r="W23" s="2">
        <v>80</v>
      </c>
      <c r="X23" s="2">
        <v>0.05</v>
      </c>
    </row>
    <row r="24" spans="1:24" x14ac:dyDescent="0.3">
      <c r="A24" s="2">
        <v>23</v>
      </c>
      <c r="B24" s="2" t="s">
        <v>90</v>
      </c>
      <c r="C24" s="3">
        <v>23</v>
      </c>
      <c r="D24" s="2">
        <v>25</v>
      </c>
      <c r="E24" s="2">
        <v>78</v>
      </c>
      <c r="F24" s="2">
        <v>178</v>
      </c>
      <c r="G24" s="2">
        <v>14.7</v>
      </c>
      <c r="H24" s="2">
        <v>14.8</v>
      </c>
      <c r="I24" s="2">
        <v>44.3</v>
      </c>
      <c r="J24" s="2">
        <v>44</v>
      </c>
      <c r="K24" s="2">
        <v>200</v>
      </c>
      <c r="L24" s="2">
        <v>145</v>
      </c>
      <c r="M24" s="2">
        <v>10.199999999999999</v>
      </c>
      <c r="N24" s="2">
        <v>11.2</v>
      </c>
      <c r="O24" s="2">
        <v>13</v>
      </c>
      <c r="P24" s="2">
        <v>15</v>
      </c>
      <c r="Q24" s="2">
        <v>3150</v>
      </c>
      <c r="R24" s="2">
        <v>96</v>
      </c>
      <c r="S24" s="2">
        <v>65</v>
      </c>
      <c r="T24" s="2">
        <v>275</v>
      </c>
      <c r="U24" s="2">
        <v>1530</v>
      </c>
      <c r="V24" s="2">
        <v>4.0999999999999996</v>
      </c>
      <c r="W24" s="2">
        <v>77</v>
      </c>
      <c r="X24" s="2">
        <v>6.3E-2</v>
      </c>
    </row>
    <row r="25" spans="1:24" x14ac:dyDescent="0.3">
      <c r="A25" s="2">
        <v>24</v>
      </c>
      <c r="B25" s="2" t="s">
        <v>90</v>
      </c>
      <c r="C25" s="3">
        <v>24</v>
      </c>
      <c r="D25" s="2">
        <v>33</v>
      </c>
      <c r="E25" s="2">
        <v>74</v>
      </c>
      <c r="F25" s="2">
        <v>175</v>
      </c>
      <c r="G25" s="2">
        <v>15</v>
      </c>
      <c r="H25" s="2">
        <v>14.4</v>
      </c>
      <c r="I25" s="2">
        <v>41.8</v>
      </c>
      <c r="J25" s="2">
        <v>41.7</v>
      </c>
      <c r="K25" s="2">
        <v>265</v>
      </c>
      <c r="L25" s="2">
        <v>215</v>
      </c>
      <c r="M25" s="2">
        <v>9.6999999999999993</v>
      </c>
      <c r="N25" s="2">
        <v>10.6</v>
      </c>
      <c r="O25" s="2">
        <v>12.5</v>
      </c>
      <c r="P25" s="2">
        <v>14.3</v>
      </c>
      <c r="Q25" s="2">
        <v>3300</v>
      </c>
      <c r="R25" s="2">
        <v>110</v>
      </c>
      <c r="S25" s="2">
        <v>60</v>
      </c>
      <c r="T25" s="2">
        <v>265</v>
      </c>
      <c r="U25" s="2">
        <v>1520</v>
      </c>
      <c r="V25" s="2">
        <v>4</v>
      </c>
      <c r="W25" s="2">
        <v>75.5</v>
      </c>
      <c r="X25" s="2">
        <v>6.6000000000000003E-2</v>
      </c>
    </row>
    <row r="26" spans="1:24" x14ac:dyDescent="0.3">
      <c r="A26" s="2">
        <v>25</v>
      </c>
      <c r="B26" s="2" t="s">
        <v>90</v>
      </c>
      <c r="C26" s="3">
        <v>25</v>
      </c>
      <c r="D26" s="2">
        <v>30</v>
      </c>
      <c r="E26" s="2">
        <v>80</v>
      </c>
      <c r="F26" s="2">
        <v>160</v>
      </c>
      <c r="G26" s="2">
        <v>14.8</v>
      </c>
      <c r="H26" s="2">
        <v>14</v>
      </c>
      <c r="I26" s="2">
        <v>40.700000000000003</v>
      </c>
      <c r="J26" s="2">
        <v>39.9</v>
      </c>
      <c r="K26" s="2">
        <v>245</v>
      </c>
      <c r="L26" s="2">
        <v>195</v>
      </c>
      <c r="M26" s="2">
        <v>10</v>
      </c>
      <c r="N26" s="2">
        <v>10.8</v>
      </c>
      <c r="O26" s="2">
        <v>14</v>
      </c>
      <c r="P26" s="2">
        <v>13.7</v>
      </c>
      <c r="Q26" s="2">
        <v>2650</v>
      </c>
      <c r="R26" s="2">
        <v>92</v>
      </c>
      <c r="S26" s="2">
        <v>57</v>
      </c>
      <c r="T26" s="2">
        <v>259</v>
      </c>
      <c r="U26" s="2">
        <v>1590</v>
      </c>
      <c r="V26" s="2">
        <v>4.25</v>
      </c>
      <c r="W26" s="2">
        <v>79.3</v>
      </c>
      <c r="X26" s="2">
        <v>7.3999999999999996E-2</v>
      </c>
    </row>
    <row r="27" spans="1:24" x14ac:dyDescent="0.3">
      <c r="A27" s="2">
        <v>26</v>
      </c>
      <c r="B27" s="2" t="s">
        <v>90</v>
      </c>
      <c r="C27" s="3">
        <v>26</v>
      </c>
      <c r="D27" s="2">
        <v>26</v>
      </c>
      <c r="E27" s="2">
        <v>77</v>
      </c>
      <c r="F27" s="2">
        <v>169</v>
      </c>
      <c r="G27" s="2">
        <v>14.9</v>
      </c>
      <c r="H27" s="2">
        <v>14.6</v>
      </c>
      <c r="I27" s="2">
        <v>43.2</v>
      </c>
      <c r="J27" s="2">
        <v>42.6</v>
      </c>
      <c r="K27" s="2">
        <v>220</v>
      </c>
      <c r="L27" s="2">
        <v>190</v>
      </c>
      <c r="M27" s="2">
        <v>9.9</v>
      </c>
      <c r="N27" s="2">
        <v>10.4</v>
      </c>
      <c r="O27" s="2">
        <v>13.8</v>
      </c>
      <c r="P27" s="2">
        <v>14.1</v>
      </c>
      <c r="Q27" s="2">
        <v>3150</v>
      </c>
      <c r="R27" s="2">
        <v>98</v>
      </c>
      <c r="S27" s="2">
        <v>64</v>
      </c>
      <c r="T27" s="2">
        <v>263</v>
      </c>
      <c r="U27" s="2">
        <v>1575</v>
      </c>
      <c r="V27" s="2">
        <v>4.05</v>
      </c>
      <c r="W27" s="2">
        <v>77.8</v>
      </c>
      <c r="X27" s="2">
        <v>6.3E-2</v>
      </c>
    </row>
    <row r="28" spans="1:24" x14ac:dyDescent="0.3">
      <c r="A28" s="2">
        <v>27</v>
      </c>
      <c r="B28" s="2" t="s">
        <v>90</v>
      </c>
      <c r="C28" s="3">
        <v>27</v>
      </c>
      <c r="D28" s="2">
        <v>31</v>
      </c>
      <c r="E28" s="2">
        <v>79</v>
      </c>
      <c r="F28" s="2">
        <v>177</v>
      </c>
      <c r="G28" s="2">
        <v>14.6</v>
      </c>
      <c r="H28" s="2">
        <v>14.9</v>
      </c>
      <c r="I28" s="2">
        <v>42.5</v>
      </c>
      <c r="J28" s="2">
        <v>42.8</v>
      </c>
      <c r="K28" s="2">
        <v>255</v>
      </c>
      <c r="L28" s="2">
        <v>210</v>
      </c>
      <c r="M28" s="2">
        <v>10</v>
      </c>
      <c r="N28" s="2">
        <v>11.1</v>
      </c>
      <c r="O28" s="2">
        <v>13</v>
      </c>
      <c r="P28" s="2">
        <v>14</v>
      </c>
      <c r="Q28" s="2">
        <v>3100</v>
      </c>
      <c r="R28" s="2">
        <v>88</v>
      </c>
      <c r="S28" s="2">
        <v>69</v>
      </c>
      <c r="T28" s="2">
        <v>267</v>
      </c>
      <c r="U28" s="2">
        <v>1540</v>
      </c>
      <c r="V28" s="2">
        <v>3.9</v>
      </c>
      <c r="W28" s="2">
        <v>76</v>
      </c>
      <c r="X28" s="2">
        <v>5.6000000000000001E-2</v>
      </c>
    </row>
    <row r="29" spans="1:24" x14ac:dyDescent="0.3">
      <c r="A29" s="2">
        <v>28</v>
      </c>
      <c r="B29" s="2" t="s">
        <v>90</v>
      </c>
      <c r="C29" s="3">
        <v>28</v>
      </c>
      <c r="D29" s="2">
        <v>32</v>
      </c>
      <c r="E29" s="2">
        <v>79</v>
      </c>
      <c r="F29" s="2">
        <v>174</v>
      </c>
      <c r="G29" s="2">
        <v>14.7</v>
      </c>
      <c r="H29" s="2">
        <v>14.5</v>
      </c>
      <c r="I29" s="2">
        <v>44.7</v>
      </c>
      <c r="J29" s="2">
        <v>44</v>
      </c>
      <c r="K29" s="2">
        <v>230</v>
      </c>
      <c r="L29" s="2">
        <v>210</v>
      </c>
      <c r="M29" s="2">
        <v>9.8000000000000007</v>
      </c>
      <c r="N29" s="2">
        <v>10.6</v>
      </c>
      <c r="O29" s="2">
        <v>12.9</v>
      </c>
      <c r="P29" s="2">
        <v>14.2</v>
      </c>
      <c r="Q29" s="2">
        <v>3300</v>
      </c>
      <c r="R29" s="2">
        <v>90</v>
      </c>
      <c r="S29" s="2">
        <v>72</v>
      </c>
      <c r="T29" s="2">
        <v>260</v>
      </c>
      <c r="U29" s="2">
        <v>1450</v>
      </c>
      <c r="V29" s="2">
        <v>4.3</v>
      </c>
      <c r="W29" s="2">
        <v>78.7</v>
      </c>
      <c r="X29" s="2">
        <v>5.8999999999999997E-2</v>
      </c>
    </row>
    <row r="30" spans="1:24" x14ac:dyDescent="0.3">
      <c r="A30" s="2">
        <v>29</v>
      </c>
      <c r="B30" s="2" t="s">
        <v>90</v>
      </c>
      <c r="C30" s="3">
        <v>29</v>
      </c>
      <c r="D30" s="2">
        <v>28</v>
      </c>
      <c r="E30" s="2">
        <v>82</v>
      </c>
      <c r="F30" s="2">
        <v>182</v>
      </c>
      <c r="G30" s="2">
        <v>15.2</v>
      </c>
      <c r="H30" s="2">
        <v>14.1</v>
      </c>
      <c r="I30" s="2">
        <v>41</v>
      </c>
      <c r="J30" s="2">
        <v>40.299999999999997</v>
      </c>
      <c r="K30" s="2">
        <v>280</v>
      </c>
      <c r="L30" s="2">
        <v>230</v>
      </c>
      <c r="M30" s="2">
        <v>9.8000000000000007</v>
      </c>
      <c r="N30" s="2">
        <v>10.5</v>
      </c>
      <c r="O30" s="2">
        <v>13</v>
      </c>
      <c r="P30" s="2">
        <v>13.9</v>
      </c>
      <c r="Q30" s="2">
        <v>3250</v>
      </c>
      <c r="R30" s="2">
        <v>106</v>
      </c>
      <c r="S30" s="2">
        <v>61</v>
      </c>
      <c r="T30" s="2">
        <v>275</v>
      </c>
      <c r="U30" s="2">
        <v>1600</v>
      </c>
      <c r="V30" s="2">
        <v>4.0999999999999996</v>
      </c>
      <c r="W30" s="2">
        <v>79.2</v>
      </c>
      <c r="X30" s="2">
        <v>6.7000000000000004E-2</v>
      </c>
    </row>
    <row r="31" spans="1:24" x14ac:dyDescent="0.3">
      <c r="A31" s="2">
        <v>30</v>
      </c>
      <c r="B31" s="2" t="s">
        <v>90</v>
      </c>
      <c r="C31" s="2">
        <v>30</v>
      </c>
      <c r="D31" s="2">
        <v>30</v>
      </c>
      <c r="E31" s="2">
        <v>75</v>
      </c>
      <c r="F31" s="2">
        <v>168</v>
      </c>
      <c r="G31" s="2">
        <v>14.6</v>
      </c>
      <c r="H31" s="2">
        <v>14</v>
      </c>
      <c r="I31" s="2">
        <v>42.1</v>
      </c>
      <c r="J31" s="2">
        <v>41</v>
      </c>
      <c r="K31" s="2">
        <v>230</v>
      </c>
      <c r="L31" s="2">
        <v>190</v>
      </c>
      <c r="M31" s="2">
        <v>9.8000000000000007</v>
      </c>
      <c r="N31" s="2">
        <v>10.7</v>
      </c>
      <c r="O31" s="2">
        <v>13</v>
      </c>
      <c r="P31" s="2">
        <v>14</v>
      </c>
      <c r="Q31" s="2">
        <v>2900</v>
      </c>
      <c r="R31" s="2">
        <v>92</v>
      </c>
      <c r="S31" s="2">
        <v>62</v>
      </c>
      <c r="T31" s="2">
        <v>265</v>
      </c>
      <c r="U31" s="2">
        <v>1500</v>
      </c>
      <c r="V31" s="2">
        <v>4</v>
      </c>
      <c r="W31" s="2">
        <v>78</v>
      </c>
      <c r="X31" s="2">
        <v>6.4000000000000001E-2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466C-51F2-419B-9FD8-BC4A36FAE7CA}">
  <dimension ref="A1:AG91"/>
  <sheetViews>
    <sheetView workbookViewId="0">
      <selection activeCell="L3" sqref="L3"/>
    </sheetView>
  </sheetViews>
  <sheetFormatPr defaultColWidth="12.21875" defaultRowHeight="14.4" x14ac:dyDescent="0.3"/>
  <cols>
    <col min="4" max="4" width="12.21875" style="2"/>
    <col min="9" max="10" width="12.21875" style="2"/>
    <col min="13" max="14" width="12.21875" style="2"/>
    <col min="17" max="18" width="12.21875" style="2"/>
    <col min="21" max="21" width="12.21875" style="2"/>
    <col min="24" max="24" width="12.21875" style="2"/>
    <col min="31" max="31" width="12.21875" style="2"/>
  </cols>
  <sheetData>
    <row r="1" spans="1:33" s="4" customFormat="1" ht="29.4" customHeight="1" x14ac:dyDescent="0.3">
      <c r="A1" s="4" t="s">
        <v>40</v>
      </c>
      <c r="B1" s="4" t="s">
        <v>42</v>
      </c>
      <c r="C1" s="4" t="s">
        <v>19</v>
      </c>
      <c r="D1" s="4" t="s">
        <v>91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92</v>
      </c>
      <c r="J1" s="4" t="s">
        <v>130</v>
      </c>
      <c r="K1" s="4" t="s">
        <v>24</v>
      </c>
      <c r="L1" s="4" t="s">
        <v>25</v>
      </c>
      <c r="M1" s="4" t="s">
        <v>93</v>
      </c>
      <c r="N1" s="4" t="s">
        <v>131</v>
      </c>
      <c r="O1" s="4" t="s">
        <v>26</v>
      </c>
      <c r="P1" s="4" t="s">
        <v>27</v>
      </c>
      <c r="Q1" s="4" t="s">
        <v>94</v>
      </c>
      <c r="R1" s="4" t="s">
        <v>132</v>
      </c>
      <c r="S1" s="4" t="s">
        <v>28</v>
      </c>
      <c r="T1" s="4" t="s">
        <v>29</v>
      </c>
      <c r="U1" s="4" t="s">
        <v>95</v>
      </c>
      <c r="V1" s="4" t="s">
        <v>30</v>
      </c>
      <c r="W1" s="4" t="s">
        <v>31</v>
      </c>
      <c r="X1" s="4" t="s">
        <v>96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156</v>
      </c>
      <c r="AF1" s="4" t="s">
        <v>38</v>
      </c>
      <c r="AG1" s="4" t="s">
        <v>39</v>
      </c>
    </row>
    <row r="2" spans="1:33" x14ac:dyDescent="0.3">
      <c r="A2">
        <v>1</v>
      </c>
      <c r="B2" t="s">
        <v>43</v>
      </c>
      <c r="C2">
        <v>30</v>
      </c>
      <c r="D2" s="2" t="str">
        <f>LOOKUP(C2,{0,0;16,"16-19";20,"20-24";25,"25-29";30,"30-34";35,"35-39";40,"40-44";45,"45-49";50,"50-54";55,"55-59";60,"60-64"})</f>
        <v>30-34</v>
      </c>
      <c r="E2">
        <v>98</v>
      </c>
      <c r="F2">
        <v>170</v>
      </c>
      <c r="G2">
        <v>14.7</v>
      </c>
      <c r="H2">
        <v>14.1</v>
      </c>
      <c r="I2" s="2">
        <f>G2-H2</f>
        <v>0.59999999999999964</v>
      </c>
      <c r="J2" s="10">
        <f>(I2/G2)*100</f>
        <v>4.0816326530612219</v>
      </c>
      <c r="K2">
        <v>41.7</v>
      </c>
      <c r="L2">
        <v>40</v>
      </c>
      <c r="M2" s="2">
        <f>K2-L2</f>
        <v>1.7000000000000028</v>
      </c>
      <c r="N2" s="10">
        <f>(M2/K2)*100</f>
        <v>4.0767386091127165</v>
      </c>
      <c r="O2">
        <v>214</v>
      </c>
      <c r="P2">
        <v>160</v>
      </c>
      <c r="Q2" s="2">
        <f>O2-P2</f>
        <v>54</v>
      </c>
      <c r="R2" s="2">
        <f>(Q2/O2)*100</f>
        <v>25.233644859813083</v>
      </c>
      <c r="S2">
        <v>11.2</v>
      </c>
      <c r="T2">
        <v>11.3</v>
      </c>
      <c r="U2" s="2">
        <f>S2-T2</f>
        <v>-0.10000000000000142</v>
      </c>
      <c r="V2">
        <v>13.3</v>
      </c>
      <c r="W2">
        <v>14.8</v>
      </c>
      <c r="X2" s="2">
        <f>V2-W2</f>
        <v>-1.5</v>
      </c>
      <c r="Y2">
        <v>2466</v>
      </c>
      <c r="Z2">
        <v>100</v>
      </c>
      <c r="AA2">
        <v>47</v>
      </c>
      <c r="AB2">
        <v>241</v>
      </c>
      <c r="AC2">
        <v>1049</v>
      </c>
      <c r="AD2">
        <v>2.52</v>
      </c>
      <c r="AE2" s="2">
        <f>_xlfn.IFS(AD2&lt;3,1,AD2&lt;3.5,2,AD2&gt;3.5,3)</f>
        <v>1</v>
      </c>
      <c r="AF2">
        <v>54.7</v>
      </c>
      <c r="AG2">
        <v>5.2999999999999999E-2</v>
      </c>
    </row>
    <row r="3" spans="1:33" x14ac:dyDescent="0.3">
      <c r="A3">
        <v>2</v>
      </c>
      <c r="B3" t="s">
        <v>43</v>
      </c>
      <c r="C3">
        <v>39</v>
      </c>
      <c r="D3" s="2" t="str">
        <f>LOOKUP(C3,{0,0;16,"16-19";20,"20-24";25,"25-29";30,"30-34";35,"35-39";40,"40-44";45,"45-49";50,"50-54";55,"55-59";60,"60-64"})</f>
        <v>35-39</v>
      </c>
      <c r="E3">
        <v>84</v>
      </c>
      <c r="F3">
        <v>172</v>
      </c>
      <c r="G3">
        <v>16</v>
      </c>
      <c r="H3">
        <v>15.5</v>
      </c>
      <c r="I3" s="2">
        <f t="shared" ref="I3:I66" si="0">G3-H3</f>
        <v>0.5</v>
      </c>
      <c r="J3" s="10">
        <f t="shared" ref="J3:J66" si="1">(I3/G3)*100</f>
        <v>3.125</v>
      </c>
      <c r="K3">
        <v>46</v>
      </c>
      <c r="L3">
        <v>44.7</v>
      </c>
      <c r="M3" s="2">
        <f t="shared" ref="M3:M66" si="2">K3-L3</f>
        <v>1.2999999999999972</v>
      </c>
      <c r="N3" s="10">
        <f t="shared" ref="N3:N66" si="3">(M3/K3)*100</f>
        <v>2.826086956521733</v>
      </c>
      <c r="O3">
        <v>263</v>
      </c>
      <c r="P3">
        <v>190</v>
      </c>
      <c r="Q3" s="2">
        <f t="shared" ref="Q3:Q66" si="4">O3-P3</f>
        <v>73</v>
      </c>
      <c r="R3" s="2">
        <f t="shared" ref="R3:R66" si="5">(Q3/O3)*100</f>
        <v>27.756653992395435</v>
      </c>
      <c r="S3">
        <v>11</v>
      </c>
      <c r="T3">
        <v>10.7</v>
      </c>
      <c r="U3" s="2">
        <f t="shared" ref="U3:U66" si="6">S3-T3</f>
        <v>0.30000000000000071</v>
      </c>
      <c r="V3">
        <v>15</v>
      </c>
      <c r="W3">
        <v>13.6</v>
      </c>
      <c r="X3" s="2">
        <f t="shared" ref="X3:X66" si="7">V3-W3</f>
        <v>1.4000000000000004</v>
      </c>
      <c r="Y3">
        <v>2377</v>
      </c>
      <c r="Z3">
        <v>100</v>
      </c>
      <c r="AA3">
        <v>45</v>
      </c>
      <c r="AB3">
        <v>241</v>
      </c>
      <c r="AC3">
        <v>805</v>
      </c>
      <c r="AD3">
        <v>1.94</v>
      </c>
      <c r="AE3" s="2">
        <f t="shared" ref="AE3:AE66" si="8">_xlfn.IFS(AD3&lt;3,1,AD3&lt;3.5,2,AD3&gt;3.5,3)</f>
        <v>1</v>
      </c>
      <c r="AF3">
        <v>36.1</v>
      </c>
      <c r="AG3">
        <v>4.2999999999999997E-2</v>
      </c>
    </row>
    <row r="4" spans="1:33" x14ac:dyDescent="0.3">
      <c r="A4">
        <v>3</v>
      </c>
      <c r="B4" t="s">
        <v>43</v>
      </c>
      <c r="C4">
        <v>22</v>
      </c>
      <c r="D4" s="2" t="str">
        <f>LOOKUP(C4,{0,0;16,"16-19";20,"20-24";25,"25-29";30,"30-34";35,"35-39";40,"40-44";45,"45-49";50,"50-54";55,"55-59";60,"60-64"})</f>
        <v>20-24</v>
      </c>
      <c r="E4">
        <v>77</v>
      </c>
      <c r="F4">
        <v>168</v>
      </c>
      <c r="G4">
        <v>14.5</v>
      </c>
      <c r="H4">
        <v>13.8</v>
      </c>
      <c r="I4" s="2">
        <f t="shared" si="0"/>
        <v>0.69999999999999929</v>
      </c>
      <c r="J4" s="10">
        <f t="shared" si="1"/>
        <v>4.8275862068965472</v>
      </c>
      <c r="K4">
        <v>41.8</v>
      </c>
      <c r="L4">
        <v>40.200000000000003</v>
      </c>
      <c r="M4" s="2">
        <f t="shared" si="2"/>
        <v>1.5999999999999943</v>
      </c>
      <c r="N4" s="10">
        <f t="shared" si="3"/>
        <v>3.8277511961722355</v>
      </c>
      <c r="O4">
        <v>197</v>
      </c>
      <c r="P4">
        <v>138</v>
      </c>
      <c r="Q4" s="2">
        <f t="shared" si="4"/>
        <v>59</v>
      </c>
      <c r="R4" s="2">
        <f t="shared" si="5"/>
        <v>29.949238578680205</v>
      </c>
      <c r="S4">
        <v>12.8</v>
      </c>
      <c r="T4">
        <v>10.7</v>
      </c>
      <c r="U4" s="2">
        <f t="shared" si="6"/>
        <v>2.1000000000000014</v>
      </c>
      <c r="V4">
        <v>19.3</v>
      </c>
      <c r="W4">
        <v>16.7</v>
      </c>
      <c r="X4" s="2">
        <f t="shared" si="7"/>
        <v>2.6000000000000014</v>
      </c>
      <c r="Y4">
        <v>3090</v>
      </c>
      <c r="Z4">
        <v>117</v>
      </c>
      <c r="AA4">
        <v>61</v>
      </c>
      <c r="AB4">
        <v>237</v>
      </c>
      <c r="AC4">
        <v>886</v>
      </c>
      <c r="AD4">
        <v>2.09</v>
      </c>
      <c r="AE4" s="2">
        <f t="shared" si="8"/>
        <v>1</v>
      </c>
      <c r="AF4">
        <v>40.380000000000003</v>
      </c>
      <c r="AG4">
        <v>3.4000000000000002E-2</v>
      </c>
    </row>
    <row r="5" spans="1:33" x14ac:dyDescent="0.3">
      <c r="A5" s="2">
        <v>4</v>
      </c>
      <c r="B5" t="s">
        <v>43</v>
      </c>
      <c r="C5">
        <v>24</v>
      </c>
      <c r="D5" s="2" t="str">
        <f>LOOKUP(C5,{0,0;16,"16-19";20,"20-24";25,"25-29";30,"30-34";35,"35-39";40,"40-44";45,"45-49";50,"50-54";55,"55-59";60,"60-64"})</f>
        <v>20-24</v>
      </c>
      <c r="E5">
        <v>100</v>
      </c>
      <c r="F5">
        <v>174</v>
      </c>
      <c r="G5">
        <v>15.6</v>
      </c>
      <c r="H5">
        <v>15.5</v>
      </c>
      <c r="I5" s="2">
        <f t="shared" si="0"/>
        <v>9.9999999999999645E-2</v>
      </c>
      <c r="J5" s="10">
        <f t="shared" si="1"/>
        <v>0.64102564102563875</v>
      </c>
      <c r="K5">
        <v>45.2</v>
      </c>
      <c r="L5">
        <v>45.1</v>
      </c>
      <c r="M5" s="2">
        <f t="shared" si="2"/>
        <v>0.10000000000000142</v>
      </c>
      <c r="N5" s="10">
        <f t="shared" si="3"/>
        <v>0.22123893805310046</v>
      </c>
      <c r="O5">
        <v>469</v>
      </c>
      <c r="P5">
        <v>338</v>
      </c>
      <c r="Q5" s="2">
        <f t="shared" si="4"/>
        <v>131</v>
      </c>
      <c r="R5" s="2">
        <f t="shared" si="5"/>
        <v>27.931769722814497</v>
      </c>
      <c r="S5">
        <v>7.9</v>
      </c>
      <c r="T5">
        <v>8.1999999999999993</v>
      </c>
      <c r="U5" s="2">
        <f t="shared" si="6"/>
        <v>-0.29999999999999893</v>
      </c>
      <c r="V5">
        <v>8.8000000000000007</v>
      </c>
      <c r="W5">
        <v>9.5</v>
      </c>
      <c r="X5" s="2">
        <f t="shared" si="7"/>
        <v>-0.69999999999999929</v>
      </c>
      <c r="Y5">
        <v>1697</v>
      </c>
      <c r="Z5">
        <v>100</v>
      </c>
      <c r="AA5">
        <v>33</v>
      </c>
      <c r="AB5">
        <v>239</v>
      </c>
      <c r="AC5">
        <v>1200</v>
      </c>
      <c r="AD5">
        <v>2.86</v>
      </c>
      <c r="AE5" s="2">
        <f t="shared" si="8"/>
        <v>1</v>
      </c>
      <c r="AF5">
        <v>41.77</v>
      </c>
      <c r="AG5">
        <v>8.5999999999999993E-2</v>
      </c>
    </row>
    <row r="6" spans="1:33" x14ac:dyDescent="0.3">
      <c r="A6" s="2">
        <v>5</v>
      </c>
      <c r="B6" t="s">
        <v>43</v>
      </c>
      <c r="C6">
        <v>32</v>
      </c>
      <c r="D6" s="2" t="str">
        <f>LOOKUP(C6,{0,0;16,"16-19";20,"20-24";25,"25-29";30,"30-34";35,"35-39";40,"40-44";45,"45-49";50,"50-54";55,"55-59";60,"60-64"})</f>
        <v>30-34</v>
      </c>
      <c r="E6">
        <v>77</v>
      </c>
      <c r="F6">
        <v>175</v>
      </c>
      <c r="G6">
        <v>13.1</v>
      </c>
      <c r="H6">
        <v>12.7</v>
      </c>
      <c r="I6" s="2">
        <f t="shared" si="0"/>
        <v>0.40000000000000036</v>
      </c>
      <c r="J6" s="10">
        <f t="shared" si="1"/>
        <v>3.0534351145038197</v>
      </c>
      <c r="K6">
        <v>41.4</v>
      </c>
      <c r="L6">
        <v>40.1</v>
      </c>
      <c r="M6" s="2">
        <f t="shared" si="2"/>
        <v>1.2999999999999972</v>
      </c>
      <c r="N6" s="10">
        <f t="shared" si="3"/>
        <v>3.140096618357481</v>
      </c>
      <c r="O6">
        <v>271</v>
      </c>
      <c r="P6">
        <v>219</v>
      </c>
      <c r="Q6" s="2">
        <f t="shared" si="4"/>
        <v>52</v>
      </c>
      <c r="R6" s="2">
        <f t="shared" si="5"/>
        <v>19.188191881918819</v>
      </c>
      <c r="S6">
        <v>9.5</v>
      </c>
      <c r="T6">
        <v>10.199999999999999</v>
      </c>
      <c r="U6" s="2">
        <f t="shared" si="6"/>
        <v>-0.69999999999999929</v>
      </c>
      <c r="V6">
        <v>10.7</v>
      </c>
      <c r="W6">
        <v>12.3</v>
      </c>
      <c r="X6" s="2">
        <f t="shared" si="7"/>
        <v>-1.6000000000000014</v>
      </c>
      <c r="Y6">
        <v>2257</v>
      </c>
      <c r="Z6">
        <v>66</v>
      </c>
      <c r="AA6">
        <v>41</v>
      </c>
      <c r="AB6">
        <v>241</v>
      </c>
      <c r="AC6">
        <v>1000</v>
      </c>
      <c r="AD6">
        <v>2.41</v>
      </c>
      <c r="AE6" s="2">
        <f t="shared" si="8"/>
        <v>1</v>
      </c>
      <c r="AF6">
        <v>43.58</v>
      </c>
      <c r="AG6">
        <v>5.8000000000000003E-2</v>
      </c>
    </row>
    <row r="7" spans="1:33" x14ac:dyDescent="0.3">
      <c r="A7" s="2">
        <v>6</v>
      </c>
      <c r="B7" t="s">
        <v>43</v>
      </c>
      <c r="C7">
        <v>30</v>
      </c>
      <c r="D7" s="2" t="str">
        <f>LOOKUP(C7,{0,0;16,"16-19";20,"20-24";25,"25-29";30,"30-34";35,"35-39";40,"40-44";45,"45-49";50,"50-54";55,"55-59";60,"60-64"})</f>
        <v>30-34</v>
      </c>
      <c r="E7">
        <v>77</v>
      </c>
      <c r="F7">
        <v>174</v>
      </c>
      <c r="G7">
        <v>12.9</v>
      </c>
      <c r="H7">
        <v>12.1</v>
      </c>
      <c r="I7" s="2">
        <f t="shared" si="0"/>
        <v>0.80000000000000071</v>
      </c>
      <c r="J7" s="10">
        <f t="shared" si="1"/>
        <v>6.2015503875969049</v>
      </c>
      <c r="K7">
        <v>41.6</v>
      </c>
      <c r="L7">
        <v>38</v>
      </c>
      <c r="M7" s="2">
        <f t="shared" si="2"/>
        <v>3.6000000000000014</v>
      </c>
      <c r="N7" s="10">
        <f t="shared" si="3"/>
        <v>8.6538461538461569</v>
      </c>
      <c r="O7">
        <v>234</v>
      </c>
      <c r="P7">
        <v>170</v>
      </c>
      <c r="Q7" s="2">
        <f t="shared" si="4"/>
        <v>64</v>
      </c>
      <c r="R7" s="2">
        <f t="shared" si="5"/>
        <v>27.350427350427353</v>
      </c>
      <c r="S7">
        <v>10.8</v>
      </c>
      <c r="T7">
        <v>11</v>
      </c>
      <c r="U7" s="2">
        <f t="shared" si="6"/>
        <v>-0.19999999999999929</v>
      </c>
      <c r="V7">
        <v>13.2</v>
      </c>
      <c r="W7">
        <v>13.6</v>
      </c>
      <c r="X7" s="2">
        <f t="shared" si="7"/>
        <v>-0.40000000000000036</v>
      </c>
      <c r="Y7">
        <v>2661</v>
      </c>
      <c r="Z7">
        <v>110</v>
      </c>
      <c r="AA7">
        <v>49</v>
      </c>
      <c r="AB7">
        <v>240</v>
      </c>
      <c r="AC7">
        <v>1780</v>
      </c>
      <c r="AD7">
        <v>4.2699999999999996</v>
      </c>
      <c r="AE7" s="2">
        <f t="shared" si="8"/>
        <v>3</v>
      </c>
      <c r="AF7">
        <v>79.44</v>
      </c>
      <c r="AG7">
        <v>8.6999999999999994E-2</v>
      </c>
    </row>
    <row r="8" spans="1:33" x14ac:dyDescent="0.3">
      <c r="A8" s="2">
        <v>7</v>
      </c>
      <c r="B8" t="s">
        <v>43</v>
      </c>
      <c r="C8">
        <v>30</v>
      </c>
      <c r="D8" s="2" t="str">
        <f>LOOKUP(C8,{0,0;16,"16-19";20,"20-24";25,"25-29";30,"30-34";35,"35-39";40,"40-44";45,"45-49";50,"50-54";55,"55-59";60,"60-64"})</f>
        <v>30-34</v>
      </c>
      <c r="E8">
        <v>67</v>
      </c>
      <c r="F8">
        <v>170</v>
      </c>
      <c r="G8">
        <v>14.3</v>
      </c>
      <c r="H8">
        <v>13.9</v>
      </c>
      <c r="I8" s="2">
        <f t="shared" si="0"/>
        <v>0.40000000000000036</v>
      </c>
      <c r="J8" s="10">
        <f t="shared" si="1"/>
        <v>2.7972027972027997</v>
      </c>
      <c r="K8">
        <v>45</v>
      </c>
      <c r="L8">
        <v>43.5</v>
      </c>
      <c r="M8" s="2">
        <f t="shared" si="2"/>
        <v>1.5</v>
      </c>
      <c r="N8" s="10">
        <f t="shared" si="3"/>
        <v>3.3333333333333335</v>
      </c>
      <c r="O8">
        <v>236</v>
      </c>
      <c r="P8">
        <v>183</v>
      </c>
      <c r="Q8" s="2">
        <f t="shared" si="4"/>
        <v>53</v>
      </c>
      <c r="R8" s="2">
        <f t="shared" si="5"/>
        <v>22.457627118644069</v>
      </c>
      <c r="S8">
        <v>11.2</v>
      </c>
      <c r="T8">
        <v>11.4</v>
      </c>
      <c r="U8" s="2">
        <f t="shared" si="6"/>
        <v>-0.20000000000000107</v>
      </c>
      <c r="V8">
        <v>13.6</v>
      </c>
      <c r="W8">
        <v>14.6</v>
      </c>
      <c r="X8" s="2">
        <f t="shared" si="7"/>
        <v>-1</v>
      </c>
      <c r="Y8">
        <v>2660</v>
      </c>
      <c r="Z8">
        <v>90</v>
      </c>
      <c r="AA8">
        <v>66</v>
      </c>
      <c r="AB8">
        <v>241</v>
      </c>
      <c r="AC8">
        <v>800</v>
      </c>
      <c r="AD8">
        <v>1.92</v>
      </c>
      <c r="AE8" s="2">
        <f t="shared" si="8"/>
        <v>1</v>
      </c>
      <c r="AF8">
        <v>34.549999999999997</v>
      </c>
      <c r="AG8">
        <v>2.9000000000000001E-2</v>
      </c>
    </row>
    <row r="9" spans="1:33" x14ac:dyDescent="0.3">
      <c r="A9" s="2">
        <v>8</v>
      </c>
      <c r="B9" t="s">
        <v>43</v>
      </c>
      <c r="C9">
        <v>24</v>
      </c>
      <c r="D9" s="2" t="str">
        <f>LOOKUP(C9,{0,0;16,"16-19";20,"20-24";25,"25-29";30,"30-34";35,"35-39";40,"40-44";45,"45-49";50,"50-54";55,"55-59";60,"60-64"})</f>
        <v>20-24</v>
      </c>
      <c r="E9">
        <v>74</v>
      </c>
      <c r="F9">
        <v>170</v>
      </c>
      <c r="G9">
        <v>13.9</v>
      </c>
      <c r="H9">
        <v>13.4</v>
      </c>
      <c r="I9" s="2">
        <f t="shared" si="0"/>
        <v>0.5</v>
      </c>
      <c r="J9" s="10">
        <f t="shared" si="1"/>
        <v>3.5971223021582732</v>
      </c>
      <c r="K9">
        <v>43.4</v>
      </c>
      <c r="L9">
        <v>41</v>
      </c>
      <c r="M9" s="2">
        <f t="shared" si="2"/>
        <v>2.3999999999999986</v>
      </c>
      <c r="N9" s="10">
        <f t="shared" si="3"/>
        <v>5.5299539170506877</v>
      </c>
      <c r="O9">
        <v>216</v>
      </c>
      <c r="P9">
        <v>140</v>
      </c>
      <c r="Q9" s="2">
        <f t="shared" si="4"/>
        <v>76</v>
      </c>
      <c r="R9" s="2">
        <f t="shared" si="5"/>
        <v>35.185185185185183</v>
      </c>
      <c r="S9">
        <v>12.1</v>
      </c>
      <c r="T9">
        <v>12.6</v>
      </c>
      <c r="U9" s="2">
        <f t="shared" si="6"/>
        <v>-0.5</v>
      </c>
      <c r="V9">
        <v>15.2</v>
      </c>
      <c r="W9">
        <v>18.2</v>
      </c>
      <c r="X9" s="2">
        <f t="shared" si="7"/>
        <v>-3</v>
      </c>
      <c r="Y9">
        <v>2826</v>
      </c>
      <c r="Z9">
        <v>117</v>
      </c>
      <c r="AA9">
        <v>53</v>
      </c>
      <c r="AB9">
        <v>241</v>
      </c>
      <c r="AC9">
        <v>1167</v>
      </c>
      <c r="AD9">
        <v>2.81</v>
      </c>
      <c r="AE9" s="2">
        <f t="shared" si="8"/>
        <v>1</v>
      </c>
      <c r="AF9">
        <v>55.86</v>
      </c>
      <c r="AG9">
        <v>5.2999999999999999E-2</v>
      </c>
    </row>
    <row r="10" spans="1:33" x14ac:dyDescent="0.3">
      <c r="A10" s="2">
        <v>9</v>
      </c>
      <c r="B10" t="s">
        <v>43</v>
      </c>
      <c r="C10">
        <v>22</v>
      </c>
      <c r="D10" s="2" t="str">
        <f>LOOKUP(C10,{0,0;16,"16-19";20,"20-24";25,"25-29";30,"30-34";35,"35-39";40,"40-44";45,"45-49";50,"50-54";55,"55-59";60,"60-64"})</f>
        <v>20-24</v>
      </c>
      <c r="E10">
        <v>65</v>
      </c>
      <c r="F10">
        <v>172</v>
      </c>
      <c r="G10">
        <v>13.8</v>
      </c>
      <c r="H10">
        <v>13.7</v>
      </c>
      <c r="I10" s="2">
        <f t="shared" si="0"/>
        <v>0.10000000000000142</v>
      </c>
      <c r="J10" s="10">
        <f t="shared" si="1"/>
        <v>0.7246376811594305</v>
      </c>
      <c r="K10">
        <v>44.4</v>
      </c>
      <c r="L10">
        <v>43.8</v>
      </c>
      <c r="M10" s="2">
        <f t="shared" si="2"/>
        <v>0.60000000000000142</v>
      </c>
      <c r="N10" s="10">
        <f t="shared" si="3"/>
        <v>1.3513513513513546</v>
      </c>
      <c r="O10">
        <v>247</v>
      </c>
      <c r="P10">
        <v>173</v>
      </c>
      <c r="Q10" s="2">
        <f t="shared" si="4"/>
        <v>74</v>
      </c>
      <c r="R10" s="2">
        <f t="shared" si="5"/>
        <v>29.959514170040485</v>
      </c>
      <c r="S10">
        <v>12</v>
      </c>
      <c r="T10">
        <v>12.4</v>
      </c>
      <c r="U10" s="2">
        <f t="shared" si="6"/>
        <v>-0.40000000000000036</v>
      </c>
      <c r="V10">
        <v>14.8</v>
      </c>
      <c r="W10">
        <v>16.7</v>
      </c>
      <c r="X10" s="2">
        <f t="shared" si="7"/>
        <v>-1.8999999999999986</v>
      </c>
      <c r="Y10">
        <v>2651</v>
      </c>
      <c r="Z10">
        <v>100</v>
      </c>
      <c r="AA10">
        <v>56</v>
      </c>
      <c r="AB10">
        <v>242</v>
      </c>
      <c r="AC10">
        <v>869</v>
      </c>
      <c r="AD10">
        <v>2.1</v>
      </c>
      <c r="AE10" s="2">
        <f t="shared" si="8"/>
        <v>1</v>
      </c>
      <c r="AF10">
        <v>37.72</v>
      </c>
      <c r="AG10">
        <v>3.6999999999999998E-2</v>
      </c>
    </row>
    <row r="11" spans="1:33" x14ac:dyDescent="0.3">
      <c r="A11" s="2">
        <v>10</v>
      </c>
      <c r="B11" t="s">
        <v>43</v>
      </c>
      <c r="C11">
        <v>35</v>
      </c>
      <c r="D11" s="2" t="str">
        <f>LOOKUP(C11,{0,0;16,"16-19";20,"20-24";25,"25-29";30,"30-34";35,"35-39";40,"40-44";45,"45-49";50,"50-54";55,"55-59";60,"60-64"})</f>
        <v>35-39</v>
      </c>
      <c r="E11">
        <v>101</v>
      </c>
      <c r="F11">
        <v>180</v>
      </c>
      <c r="G11">
        <v>15.4</v>
      </c>
      <c r="H11">
        <v>14.8</v>
      </c>
      <c r="I11" s="2">
        <f t="shared" si="0"/>
        <v>0.59999999999999964</v>
      </c>
      <c r="J11" s="10">
        <f t="shared" si="1"/>
        <v>3.8961038961038938</v>
      </c>
      <c r="K11">
        <v>48.8</v>
      </c>
      <c r="L11">
        <v>46.4</v>
      </c>
      <c r="M11" s="2">
        <f t="shared" si="2"/>
        <v>2.3999999999999986</v>
      </c>
      <c r="N11" s="10">
        <f t="shared" si="3"/>
        <v>4.9180327868852434</v>
      </c>
      <c r="O11">
        <v>376</v>
      </c>
      <c r="P11">
        <v>308</v>
      </c>
      <c r="Q11" s="2">
        <f t="shared" si="4"/>
        <v>68</v>
      </c>
      <c r="R11" s="2">
        <f t="shared" si="5"/>
        <v>18.085106382978726</v>
      </c>
      <c r="S11">
        <v>9.9</v>
      </c>
      <c r="T11">
        <v>10.3</v>
      </c>
      <c r="U11" s="2">
        <f t="shared" si="6"/>
        <v>-0.40000000000000036</v>
      </c>
      <c r="V11">
        <v>11.4</v>
      </c>
      <c r="W11">
        <v>11.2</v>
      </c>
      <c r="X11" s="2">
        <f t="shared" si="7"/>
        <v>0.20000000000000107</v>
      </c>
      <c r="Y11">
        <v>1953</v>
      </c>
      <c r="Z11">
        <v>103</v>
      </c>
      <c r="AA11">
        <v>42</v>
      </c>
      <c r="AB11">
        <v>237</v>
      </c>
      <c r="AC11">
        <v>1865</v>
      </c>
      <c r="AD11">
        <v>4.42</v>
      </c>
      <c r="AE11" s="2">
        <f t="shared" si="8"/>
        <v>3</v>
      </c>
      <c r="AF11">
        <v>66.180000000000007</v>
      </c>
      <c r="AG11">
        <v>0.1</v>
      </c>
    </row>
    <row r="12" spans="1:33" x14ac:dyDescent="0.3">
      <c r="A12" s="2">
        <v>11</v>
      </c>
      <c r="B12" t="s">
        <v>43</v>
      </c>
      <c r="C12">
        <v>24</v>
      </c>
      <c r="D12" s="2" t="str">
        <f>LOOKUP(C12,{0,0;16,"16-19";20,"20-24";25,"25-29";30,"30-34";35,"35-39";40,"40-44";45,"45-49";50,"50-54";55,"55-59";60,"60-64"})</f>
        <v>20-24</v>
      </c>
      <c r="E12">
        <v>72</v>
      </c>
      <c r="F12">
        <v>170</v>
      </c>
      <c r="G12">
        <v>14</v>
      </c>
      <c r="H12">
        <v>13.4</v>
      </c>
      <c r="I12" s="2">
        <f t="shared" si="0"/>
        <v>0.59999999999999964</v>
      </c>
      <c r="J12" s="10">
        <f t="shared" si="1"/>
        <v>4.2857142857142829</v>
      </c>
      <c r="K12">
        <v>44.8</v>
      </c>
      <c r="L12">
        <v>43</v>
      </c>
      <c r="M12" s="2">
        <f t="shared" si="2"/>
        <v>1.7999999999999972</v>
      </c>
      <c r="N12" s="10">
        <f t="shared" si="3"/>
        <v>4.017857142857137</v>
      </c>
      <c r="O12">
        <v>284</v>
      </c>
      <c r="P12">
        <v>233</v>
      </c>
      <c r="Q12" s="2">
        <f t="shared" si="4"/>
        <v>51</v>
      </c>
      <c r="R12" s="2">
        <f t="shared" si="5"/>
        <v>17.95774647887324</v>
      </c>
      <c r="S12">
        <v>9.6999999999999993</v>
      </c>
      <c r="T12">
        <v>10.8</v>
      </c>
      <c r="U12" s="2">
        <f t="shared" si="6"/>
        <v>-1.1000000000000014</v>
      </c>
      <c r="V12">
        <v>10.8</v>
      </c>
      <c r="W12">
        <v>13.7</v>
      </c>
      <c r="X12" s="2">
        <f t="shared" si="7"/>
        <v>-2.8999999999999986</v>
      </c>
      <c r="Y12">
        <v>2273</v>
      </c>
      <c r="Z12">
        <v>129</v>
      </c>
      <c r="AA12">
        <v>41</v>
      </c>
      <c r="AB12">
        <v>238</v>
      </c>
      <c r="AC12">
        <v>1493</v>
      </c>
      <c r="AD12">
        <v>3.55</v>
      </c>
      <c r="AE12" s="2">
        <f t="shared" si="8"/>
        <v>3</v>
      </c>
      <c r="AF12">
        <v>60.42</v>
      </c>
      <c r="AG12">
        <v>8.5999999999999993E-2</v>
      </c>
    </row>
    <row r="13" spans="1:33" x14ac:dyDescent="0.3">
      <c r="A13" s="2">
        <v>12</v>
      </c>
      <c r="B13" t="s">
        <v>43</v>
      </c>
      <c r="C13">
        <v>32</v>
      </c>
      <c r="D13" s="2" t="str">
        <f>LOOKUP(C13,{0,0;16,"16-19";20,"20-24";25,"25-29";30,"30-34";35,"35-39";40,"40-44";45,"45-49";50,"50-54";55,"55-59";60,"60-64"})</f>
        <v>30-34</v>
      </c>
      <c r="E13">
        <v>79</v>
      </c>
      <c r="F13">
        <v>175</v>
      </c>
      <c r="G13">
        <v>15.6</v>
      </c>
      <c r="H13">
        <v>15.2</v>
      </c>
      <c r="I13" s="2">
        <f t="shared" si="0"/>
        <v>0.40000000000000036</v>
      </c>
      <c r="J13" s="10">
        <f t="shared" si="1"/>
        <v>2.5641025641025665</v>
      </c>
      <c r="K13">
        <v>48.7</v>
      </c>
      <c r="L13">
        <v>47</v>
      </c>
      <c r="M13" s="2">
        <f t="shared" si="2"/>
        <v>1.7000000000000028</v>
      </c>
      <c r="N13" s="10">
        <f t="shared" si="3"/>
        <v>3.4907597535934349</v>
      </c>
      <c r="O13">
        <v>275</v>
      </c>
      <c r="P13">
        <v>232</v>
      </c>
      <c r="Q13" s="2">
        <f t="shared" si="4"/>
        <v>43</v>
      </c>
      <c r="R13" s="2">
        <f t="shared" si="5"/>
        <v>15.636363636363637</v>
      </c>
      <c r="S13">
        <v>9.5</v>
      </c>
      <c r="T13">
        <v>9.6999999999999993</v>
      </c>
      <c r="U13" s="2">
        <f t="shared" si="6"/>
        <v>-0.19999999999999929</v>
      </c>
      <c r="V13">
        <v>10.199999999999999</v>
      </c>
      <c r="W13">
        <v>10.3</v>
      </c>
      <c r="X13" s="2">
        <f t="shared" si="7"/>
        <v>-0.10000000000000142</v>
      </c>
      <c r="Y13">
        <v>2447</v>
      </c>
      <c r="Z13">
        <v>127</v>
      </c>
      <c r="AA13">
        <v>46</v>
      </c>
      <c r="AB13">
        <v>236</v>
      </c>
      <c r="AC13">
        <v>2113</v>
      </c>
      <c r="AD13">
        <v>4.9800000000000004</v>
      </c>
      <c r="AE13" s="2">
        <f t="shared" si="8"/>
        <v>3</v>
      </c>
      <c r="AF13">
        <v>80.28</v>
      </c>
      <c r="AG13">
        <v>0.1</v>
      </c>
    </row>
    <row r="14" spans="1:33" x14ac:dyDescent="0.3">
      <c r="A14" s="2">
        <v>13</v>
      </c>
      <c r="B14" t="s">
        <v>43</v>
      </c>
      <c r="C14">
        <v>27</v>
      </c>
      <c r="D14" s="2" t="str">
        <f>LOOKUP(C14,{0,0;16,"16-19";20,"20-24";25,"25-29";30,"30-34";35,"35-39";40,"40-44";45,"45-49";50,"50-54";55,"55-59";60,"60-64"})</f>
        <v>25-29</v>
      </c>
      <c r="E14">
        <v>75</v>
      </c>
      <c r="F14">
        <v>174</v>
      </c>
      <c r="G14">
        <v>16.3</v>
      </c>
      <c r="H14">
        <v>15.6</v>
      </c>
      <c r="I14" s="2">
        <f t="shared" si="0"/>
        <v>0.70000000000000107</v>
      </c>
      <c r="J14" s="10">
        <f t="shared" si="1"/>
        <v>4.2944785276073683</v>
      </c>
      <c r="K14">
        <v>49.4</v>
      </c>
      <c r="L14">
        <v>47.1</v>
      </c>
      <c r="M14" s="2">
        <f t="shared" si="2"/>
        <v>2.2999999999999972</v>
      </c>
      <c r="N14" s="10">
        <f t="shared" si="3"/>
        <v>4.6558704453441244</v>
      </c>
      <c r="O14">
        <v>312</v>
      </c>
      <c r="P14">
        <v>226</v>
      </c>
      <c r="Q14" s="2">
        <f t="shared" si="4"/>
        <v>86</v>
      </c>
      <c r="R14" s="2">
        <f t="shared" si="5"/>
        <v>27.564102564102566</v>
      </c>
      <c r="S14">
        <v>9.3000000000000007</v>
      </c>
      <c r="T14">
        <v>9.6</v>
      </c>
      <c r="U14" s="2">
        <f t="shared" si="6"/>
        <v>-0.29999999999999893</v>
      </c>
      <c r="V14">
        <v>10.7</v>
      </c>
      <c r="W14">
        <v>11.8</v>
      </c>
      <c r="X14" s="2">
        <f t="shared" si="7"/>
        <v>-1.1000000000000014</v>
      </c>
      <c r="Y14">
        <v>2216</v>
      </c>
      <c r="Z14">
        <v>129</v>
      </c>
      <c r="AA14">
        <v>40</v>
      </c>
      <c r="AB14">
        <v>239</v>
      </c>
      <c r="AC14">
        <v>1963</v>
      </c>
      <c r="AD14">
        <v>4.7300000000000004</v>
      </c>
      <c r="AE14" s="2">
        <f t="shared" si="8"/>
        <v>3</v>
      </c>
      <c r="AF14">
        <v>79.349999999999994</v>
      </c>
      <c r="AG14">
        <v>0.11</v>
      </c>
    </row>
    <row r="15" spans="1:33" x14ac:dyDescent="0.3">
      <c r="A15" s="2">
        <v>14</v>
      </c>
      <c r="B15" t="s">
        <v>43</v>
      </c>
      <c r="C15">
        <v>25</v>
      </c>
      <c r="D15" s="2" t="str">
        <f>LOOKUP(C15,{0,0;16,"16-19";20,"20-24";25,"25-29";30,"30-34";35,"35-39";40,"40-44";45,"45-49";50,"50-54";55,"55-59";60,"60-64"})</f>
        <v>25-29</v>
      </c>
      <c r="E15">
        <v>78</v>
      </c>
      <c r="F15">
        <v>178</v>
      </c>
      <c r="G15">
        <v>13.7</v>
      </c>
      <c r="H15">
        <v>13.1</v>
      </c>
      <c r="I15" s="2">
        <f t="shared" si="0"/>
        <v>0.59999999999999964</v>
      </c>
      <c r="J15" s="10">
        <f t="shared" si="1"/>
        <v>4.3795620437956178</v>
      </c>
      <c r="K15">
        <v>38.1</v>
      </c>
      <c r="L15">
        <v>36.4</v>
      </c>
      <c r="M15" s="2">
        <f t="shared" si="2"/>
        <v>1.7000000000000028</v>
      </c>
      <c r="N15" s="10">
        <f t="shared" si="3"/>
        <v>4.4619422572178555</v>
      </c>
      <c r="O15">
        <v>313</v>
      </c>
      <c r="P15">
        <v>232</v>
      </c>
      <c r="Q15" s="2">
        <f t="shared" si="4"/>
        <v>81</v>
      </c>
      <c r="R15" s="2">
        <f t="shared" si="5"/>
        <v>25.878594249201274</v>
      </c>
      <c r="S15">
        <v>10.9</v>
      </c>
      <c r="T15">
        <v>11</v>
      </c>
      <c r="U15" s="2">
        <f t="shared" si="6"/>
        <v>-9.9999999999999645E-2</v>
      </c>
      <c r="V15">
        <v>14.6</v>
      </c>
      <c r="W15">
        <v>15.4</v>
      </c>
      <c r="X15" s="2">
        <f t="shared" si="7"/>
        <v>-0.80000000000000071</v>
      </c>
      <c r="Y15">
        <v>2074</v>
      </c>
      <c r="Z15">
        <v>119</v>
      </c>
      <c r="AA15">
        <v>41</v>
      </c>
      <c r="AB15">
        <v>240</v>
      </c>
      <c r="AC15">
        <v>778</v>
      </c>
      <c r="AD15">
        <v>2.1</v>
      </c>
      <c r="AE15" s="2">
        <f t="shared" si="8"/>
        <v>1</v>
      </c>
      <c r="AF15">
        <v>37.159999999999997</v>
      </c>
      <c r="AG15">
        <v>5.0999999999999997E-2</v>
      </c>
    </row>
    <row r="16" spans="1:33" x14ac:dyDescent="0.3">
      <c r="A16" s="2">
        <v>15</v>
      </c>
      <c r="B16" t="s">
        <v>43</v>
      </c>
      <c r="C16">
        <v>35</v>
      </c>
      <c r="D16" s="2" t="str">
        <f>LOOKUP(C16,{0,0;16,"16-19";20,"20-24";25,"25-29";30,"30-34";35,"35-39";40,"40-44";45,"45-49";50,"50-54";55,"55-59";60,"60-64"})</f>
        <v>35-39</v>
      </c>
      <c r="E16">
        <v>75</v>
      </c>
      <c r="F16">
        <v>175</v>
      </c>
      <c r="G16">
        <v>14.3</v>
      </c>
      <c r="H16">
        <v>14</v>
      </c>
      <c r="I16" s="2">
        <f t="shared" si="0"/>
        <v>0.30000000000000071</v>
      </c>
      <c r="J16" s="10">
        <f t="shared" si="1"/>
        <v>2.0979020979021028</v>
      </c>
      <c r="K16">
        <v>43.1</v>
      </c>
      <c r="L16">
        <v>42.5</v>
      </c>
      <c r="M16" s="2">
        <f t="shared" si="2"/>
        <v>0.60000000000000142</v>
      </c>
      <c r="N16" s="10">
        <f t="shared" si="3"/>
        <v>1.3921113689095159</v>
      </c>
      <c r="O16">
        <v>191</v>
      </c>
      <c r="P16">
        <v>129</v>
      </c>
      <c r="Q16" s="2">
        <f t="shared" si="4"/>
        <v>62</v>
      </c>
      <c r="R16" s="2">
        <f t="shared" si="5"/>
        <v>32.460732984293195</v>
      </c>
      <c r="S16">
        <v>11</v>
      </c>
      <c r="T16">
        <v>11</v>
      </c>
      <c r="U16" s="2">
        <f t="shared" si="6"/>
        <v>0</v>
      </c>
      <c r="V16">
        <v>14.2</v>
      </c>
      <c r="W16">
        <v>15.3</v>
      </c>
      <c r="X16" s="2">
        <f t="shared" si="7"/>
        <v>-1.1000000000000014</v>
      </c>
      <c r="Y16">
        <v>3243</v>
      </c>
      <c r="Z16">
        <v>100</v>
      </c>
      <c r="AA16">
        <v>63</v>
      </c>
      <c r="AB16">
        <v>238</v>
      </c>
      <c r="AC16">
        <v>1834</v>
      </c>
      <c r="AD16">
        <v>4.3600000000000003</v>
      </c>
      <c r="AE16" s="2">
        <f t="shared" si="8"/>
        <v>3</v>
      </c>
      <c r="AF16">
        <v>84.03</v>
      </c>
      <c r="AG16">
        <v>6.9000000000000006E-2</v>
      </c>
    </row>
    <row r="17" spans="1:33" x14ac:dyDescent="0.3">
      <c r="A17" s="2">
        <v>16</v>
      </c>
      <c r="B17" t="s">
        <v>43</v>
      </c>
      <c r="C17">
        <v>43</v>
      </c>
      <c r="D17" s="2" t="str">
        <f>LOOKUP(C17,{0,0;16,"16-19";20,"20-24";25,"25-29";30,"30-34";35,"35-39";40,"40-44";45,"45-49";50,"50-54";55,"55-59";60,"60-64"})</f>
        <v>40-44</v>
      </c>
      <c r="E17">
        <v>84</v>
      </c>
      <c r="F17">
        <v>177</v>
      </c>
      <c r="G17">
        <v>16</v>
      </c>
      <c r="H17">
        <v>15.4</v>
      </c>
      <c r="I17" s="2">
        <f t="shared" si="0"/>
        <v>0.59999999999999964</v>
      </c>
      <c r="J17" s="10">
        <f t="shared" si="1"/>
        <v>3.7499999999999978</v>
      </c>
      <c r="K17">
        <v>45.2</v>
      </c>
      <c r="L17">
        <v>43.4</v>
      </c>
      <c r="M17" s="2">
        <f t="shared" si="2"/>
        <v>1.8000000000000043</v>
      </c>
      <c r="N17" s="10">
        <f t="shared" si="3"/>
        <v>3.9823008849557611</v>
      </c>
      <c r="O17">
        <v>313</v>
      </c>
      <c r="P17">
        <v>228</v>
      </c>
      <c r="Q17" s="2">
        <f t="shared" si="4"/>
        <v>85</v>
      </c>
      <c r="R17" s="2">
        <f t="shared" si="5"/>
        <v>27.15654952076677</v>
      </c>
      <c r="S17">
        <v>8.9</v>
      </c>
      <c r="T17">
        <v>9.5</v>
      </c>
      <c r="U17" s="2">
        <f t="shared" si="6"/>
        <v>-0.59999999999999964</v>
      </c>
      <c r="V17">
        <v>10.8</v>
      </c>
      <c r="W17">
        <v>10.6</v>
      </c>
      <c r="X17" s="2">
        <f t="shared" si="7"/>
        <v>0.20000000000000107</v>
      </c>
      <c r="Y17">
        <v>2091</v>
      </c>
      <c r="Z17">
        <v>97</v>
      </c>
      <c r="AA17">
        <v>47</v>
      </c>
      <c r="AB17">
        <v>242</v>
      </c>
      <c r="AC17">
        <v>944</v>
      </c>
      <c r="AD17">
        <v>2.2799999999999998</v>
      </c>
      <c r="AE17" s="2">
        <f t="shared" si="8"/>
        <v>1</v>
      </c>
      <c r="AF17">
        <v>40.31</v>
      </c>
      <c r="AG17">
        <v>4.8000000000000001E-2</v>
      </c>
    </row>
    <row r="18" spans="1:33" x14ac:dyDescent="0.3">
      <c r="A18" s="2">
        <v>17</v>
      </c>
      <c r="B18" t="s">
        <v>43</v>
      </c>
      <c r="C18">
        <v>25</v>
      </c>
      <c r="D18" s="2" t="str">
        <f>LOOKUP(C18,{0,0;16,"16-19";20,"20-24";25,"25-29";30,"30-34";35,"35-39";40,"40-44";45,"45-49";50,"50-54";55,"55-59";60,"60-64"})</f>
        <v>25-29</v>
      </c>
      <c r="E18">
        <v>73</v>
      </c>
      <c r="F18">
        <v>175</v>
      </c>
      <c r="G18">
        <v>14.3</v>
      </c>
      <c r="H18">
        <v>14.1</v>
      </c>
      <c r="I18" s="2">
        <f t="shared" si="0"/>
        <v>0.20000000000000107</v>
      </c>
      <c r="J18" s="10">
        <f t="shared" si="1"/>
        <v>1.3986013986014061</v>
      </c>
      <c r="K18">
        <v>41.5</v>
      </c>
      <c r="L18">
        <v>40.799999999999997</v>
      </c>
      <c r="M18" s="2">
        <f t="shared" si="2"/>
        <v>0.70000000000000284</v>
      </c>
      <c r="N18" s="10">
        <f t="shared" si="3"/>
        <v>1.6867469879518142</v>
      </c>
      <c r="O18">
        <v>241</v>
      </c>
      <c r="P18">
        <v>155</v>
      </c>
      <c r="Q18" s="2">
        <f t="shared" si="4"/>
        <v>86</v>
      </c>
      <c r="R18" s="2">
        <f t="shared" si="5"/>
        <v>35.684647302904565</v>
      </c>
      <c r="S18">
        <v>11.2</v>
      </c>
      <c r="T18">
        <v>10.9</v>
      </c>
      <c r="U18" s="2">
        <f t="shared" si="6"/>
        <v>0.29999999999999893</v>
      </c>
      <c r="V18">
        <v>15.2</v>
      </c>
      <c r="W18">
        <v>14.6</v>
      </c>
      <c r="X18" s="2">
        <f t="shared" si="7"/>
        <v>0.59999999999999964</v>
      </c>
      <c r="Y18">
        <v>2420</v>
      </c>
      <c r="Z18">
        <v>96</v>
      </c>
      <c r="AA18">
        <v>61</v>
      </c>
      <c r="AB18">
        <v>239</v>
      </c>
      <c r="AC18">
        <v>1131</v>
      </c>
      <c r="AD18">
        <v>2.7</v>
      </c>
      <c r="AE18" s="2">
        <f t="shared" si="8"/>
        <v>1</v>
      </c>
      <c r="AF18">
        <v>56.35</v>
      </c>
      <c r="AG18">
        <v>4.3999999999999997E-2</v>
      </c>
    </row>
    <row r="19" spans="1:33" x14ac:dyDescent="0.3">
      <c r="A19" s="2">
        <v>18</v>
      </c>
      <c r="B19" t="s">
        <v>43</v>
      </c>
      <c r="C19">
        <v>28</v>
      </c>
      <c r="D19" s="2" t="str">
        <f>LOOKUP(C19,{0,0;16,"16-19";20,"20-24";25,"25-29";30,"30-34";35,"35-39";40,"40-44";45,"45-49";50,"50-54";55,"55-59";60,"60-64"})</f>
        <v>25-29</v>
      </c>
      <c r="E19">
        <v>60</v>
      </c>
      <c r="F19">
        <v>160</v>
      </c>
      <c r="G19">
        <v>15.1</v>
      </c>
      <c r="H19">
        <v>14.2</v>
      </c>
      <c r="I19" s="2">
        <f t="shared" si="0"/>
        <v>0.90000000000000036</v>
      </c>
      <c r="J19" s="10">
        <f t="shared" si="1"/>
        <v>5.9602649006622546</v>
      </c>
      <c r="K19">
        <v>45.4</v>
      </c>
      <c r="L19">
        <v>42</v>
      </c>
      <c r="M19" s="2">
        <f t="shared" si="2"/>
        <v>3.3999999999999986</v>
      </c>
      <c r="N19" s="10">
        <f t="shared" si="3"/>
        <v>7.4889867841409661</v>
      </c>
      <c r="O19">
        <v>243</v>
      </c>
      <c r="P19">
        <v>169</v>
      </c>
      <c r="Q19" s="2">
        <f t="shared" si="4"/>
        <v>74</v>
      </c>
      <c r="R19" s="2">
        <f t="shared" si="5"/>
        <v>30.452674897119341</v>
      </c>
      <c r="S19">
        <v>10</v>
      </c>
      <c r="T19">
        <v>10.5</v>
      </c>
      <c r="U19" s="2">
        <f t="shared" si="6"/>
        <v>-0.5</v>
      </c>
      <c r="V19">
        <v>12.4</v>
      </c>
      <c r="W19">
        <v>14</v>
      </c>
      <c r="X19" s="2">
        <f t="shared" si="7"/>
        <v>-1.5999999999999996</v>
      </c>
      <c r="Y19">
        <v>2681</v>
      </c>
      <c r="Z19">
        <v>100</v>
      </c>
      <c r="AA19">
        <v>60</v>
      </c>
      <c r="AB19">
        <v>242</v>
      </c>
      <c r="AC19">
        <v>1279</v>
      </c>
      <c r="AD19">
        <v>3.09</v>
      </c>
      <c r="AE19" s="2">
        <f t="shared" si="8"/>
        <v>2</v>
      </c>
      <c r="AF19">
        <v>55.94</v>
      </c>
      <c r="AG19">
        <v>5.0999999999999997E-2</v>
      </c>
    </row>
    <row r="20" spans="1:33" x14ac:dyDescent="0.3">
      <c r="A20" s="2">
        <v>19</v>
      </c>
      <c r="B20" t="s">
        <v>43</v>
      </c>
      <c r="C20">
        <v>40</v>
      </c>
      <c r="D20" s="2" t="str">
        <f>LOOKUP(C20,{0,0;16,"16-19";20,"20-24";25,"25-29";30,"30-34";35,"35-39";40,"40-44";45,"45-49";50,"50-54";55,"55-59";60,"60-64"})</f>
        <v>40-44</v>
      </c>
      <c r="E20">
        <v>69</v>
      </c>
      <c r="F20">
        <v>173</v>
      </c>
      <c r="G20">
        <v>14.1</v>
      </c>
      <c r="H20">
        <v>13.4</v>
      </c>
      <c r="I20" s="2">
        <f t="shared" si="0"/>
        <v>0.69999999999999929</v>
      </c>
      <c r="J20" s="10">
        <f t="shared" si="1"/>
        <v>4.9645390070921938</v>
      </c>
      <c r="K20">
        <v>39.299999999999997</v>
      </c>
      <c r="L20">
        <v>37.299999999999997</v>
      </c>
      <c r="M20" s="2">
        <f t="shared" si="2"/>
        <v>2</v>
      </c>
      <c r="N20" s="10">
        <f t="shared" si="3"/>
        <v>5.0890585241730282</v>
      </c>
      <c r="O20">
        <v>219</v>
      </c>
      <c r="P20">
        <v>131</v>
      </c>
      <c r="Q20" s="2">
        <f t="shared" si="4"/>
        <v>88</v>
      </c>
      <c r="R20" s="2">
        <f t="shared" si="5"/>
        <v>40.182648401826484</v>
      </c>
      <c r="S20">
        <v>11.1</v>
      </c>
      <c r="T20">
        <v>11.3</v>
      </c>
      <c r="U20" s="2">
        <f t="shared" si="6"/>
        <v>-0.20000000000000107</v>
      </c>
      <c r="V20">
        <v>14.4</v>
      </c>
      <c r="W20">
        <v>15.1</v>
      </c>
      <c r="X20" s="2">
        <f t="shared" si="7"/>
        <v>-0.69999999999999929</v>
      </c>
      <c r="Y20">
        <v>2939</v>
      </c>
      <c r="Z20">
        <v>104</v>
      </c>
      <c r="AA20">
        <v>39</v>
      </c>
      <c r="AB20">
        <v>236</v>
      </c>
      <c r="AC20">
        <v>2200</v>
      </c>
      <c r="AD20">
        <v>5.19</v>
      </c>
      <c r="AE20" s="2">
        <f t="shared" si="8"/>
        <v>3</v>
      </c>
      <c r="AF20">
        <v>100</v>
      </c>
      <c r="AG20">
        <v>0.13</v>
      </c>
    </row>
    <row r="21" spans="1:33" x14ac:dyDescent="0.3">
      <c r="A21" s="2">
        <v>20</v>
      </c>
      <c r="B21" t="s">
        <v>43</v>
      </c>
      <c r="C21">
        <v>34</v>
      </c>
      <c r="D21" s="2" t="str">
        <f>LOOKUP(C21,{0,0;16,"16-19";20,"20-24";25,"25-29";30,"30-34";35,"35-39";40,"40-44";45,"45-49";50,"50-54";55,"55-59";60,"60-64"})</f>
        <v>30-34</v>
      </c>
      <c r="E21">
        <v>76</v>
      </c>
      <c r="F21">
        <v>178</v>
      </c>
      <c r="G21">
        <v>13.6</v>
      </c>
      <c r="H21">
        <v>13</v>
      </c>
      <c r="I21" s="2">
        <f t="shared" si="0"/>
        <v>0.59999999999999964</v>
      </c>
      <c r="J21" s="10">
        <f t="shared" si="1"/>
        <v>4.4117647058823506</v>
      </c>
      <c r="K21">
        <v>42.6</v>
      </c>
      <c r="L21">
        <v>40.700000000000003</v>
      </c>
      <c r="M21" s="2">
        <f t="shared" si="2"/>
        <v>1.8999999999999986</v>
      </c>
      <c r="N21" s="10">
        <f t="shared" si="3"/>
        <v>4.4600938967136114</v>
      </c>
      <c r="O21">
        <v>259</v>
      </c>
      <c r="P21">
        <v>208</v>
      </c>
      <c r="Q21" s="2">
        <f t="shared" si="4"/>
        <v>51</v>
      </c>
      <c r="R21" s="2">
        <f t="shared" si="5"/>
        <v>19.691119691119692</v>
      </c>
      <c r="S21">
        <v>10.3</v>
      </c>
      <c r="T21">
        <v>10.7</v>
      </c>
      <c r="U21" s="2">
        <f t="shared" si="6"/>
        <v>-0.39999999999999858</v>
      </c>
      <c r="V21">
        <v>13.2</v>
      </c>
      <c r="W21">
        <v>14.4</v>
      </c>
      <c r="X21" s="2">
        <f t="shared" si="7"/>
        <v>-1.2000000000000011</v>
      </c>
      <c r="Y21">
        <v>2345</v>
      </c>
      <c r="Z21">
        <v>127</v>
      </c>
      <c r="AA21">
        <v>60</v>
      </c>
      <c r="AB21">
        <v>233</v>
      </c>
      <c r="AC21">
        <v>1647</v>
      </c>
      <c r="AD21">
        <v>3.83</v>
      </c>
      <c r="AE21" s="2">
        <f t="shared" si="8"/>
        <v>3</v>
      </c>
      <c r="AF21">
        <v>82.58</v>
      </c>
      <c r="AG21">
        <v>6.3E-2</v>
      </c>
    </row>
    <row r="22" spans="1:33" x14ac:dyDescent="0.3">
      <c r="A22" s="2">
        <v>21</v>
      </c>
      <c r="B22" t="s">
        <v>43</v>
      </c>
      <c r="C22">
        <v>20</v>
      </c>
      <c r="D22" s="2" t="str">
        <f>LOOKUP(C22,{0,0;16,"16-19";20,"20-24";25,"25-29";30,"30-34";35,"35-39";40,"40-44";45,"45-49";50,"50-54";55,"55-59";60,"60-64"})</f>
        <v>20-24</v>
      </c>
      <c r="E22">
        <v>69</v>
      </c>
      <c r="F22">
        <v>179</v>
      </c>
      <c r="G22">
        <v>13.8</v>
      </c>
      <c r="H22">
        <v>12.9</v>
      </c>
      <c r="I22" s="2">
        <f t="shared" si="0"/>
        <v>0.90000000000000036</v>
      </c>
      <c r="J22" s="10">
        <f t="shared" si="1"/>
        <v>6.5217391304347849</v>
      </c>
      <c r="K22">
        <v>49.3</v>
      </c>
      <c r="L22">
        <v>47.6</v>
      </c>
      <c r="M22" s="2">
        <f t="shared" si="2"/>
        <v>1.6999999999999957</v>
      </c>
      <c r="N22" s="10">
        <f t="shared" si="3"/>
        <v>3.4482758620689573</v>
      </c>
      <c r="O22">
        <v>242</v>
      </c>
      <c r="P22">
        <v>181</v>
      </c>
      <c r="Q22" s="2">
        <f t="shared" si="4"/>
        <v>61</v>
      </c>
      <c r="R22" s="2">
        <f t="shared" si="5"/>
        <v>25.206611570247933</v>
      </c>
      <c r="S22">
        <v>9.1</v>
      </c>
      <c r="T22">
        <v>10.199999999999999</v>
      </c>
      <c r="U22" s="2">
        <f t="shared" si="6"/>
        <v>-1.0999999999999996</v>
      </c>
      <c r="V22">
        <v>12.3</v>
      </c>
      <c r="W22">
        <v>13.7</v>
      </c>
      <c r="X22" s="2">
        <f t="shared" si="7"/>
        <v>-1.3999999999999986</v>
      </c>
      <c r="Y22">
        <v>2769</v>
      </c>
      <c r="Z22">
        <v>105</v>
      </c>
      <c r="AA22">
        <v>63</v>
      </c>
      <c r="AB22">
        <v>238</v>
      </c>
      <c r="AC22">
        <v>1534</v>
      </c>
      <c r="AD22">
        <v>3.65</v>
      </c>
      <c r="AE22" s="2">
        <f t="shared" si="8"/>
        <v>3</v>
      </c>
      <c r="AF22">
        <v>75.06</v>
      </c>
      <c r="AG22">
        <v>5.7000000000000002E-2</v>
      </c>
    </row>
    <row r="23" spans="1:33" x14ac:dyDescent="0.3">
      <c r="A23" s="2">
        <v>22</v>
      </c>
      <c r="B23" t="s">
        <v>43</v>
      </c>
      <c r="C23">
        <v>36</v>
      </c>
      <c r="D23" s="2" t="str">
        <f>LOOKUP(C23,{0,0;16,"16-19";20,"20-24";25,"25-29";30,"30-34";35,"35-39";40,"40-44";45,"45-49";50,"50-54";55,"55-59";60,"60-64"})</f>
        <v>35-39</v>
      </c>
      <c r="E23">
        <v>75</v>
      </c>
      <c r="F23">
        <v>177</v>
      </c>
      <c r="G23">
        <v>14.1</v>
      </c>
      <c r="H23">
        <v>13.2</v>
      </c>
      <c r="I23" s="2">
        <f t="shared" si="0"/>
        <v>0.90000000000000036</v>
      </c>
      <c r="J23" s="10">
        <f t="shared" si="1"/>
        <v>6.3829787234042579</v>
      </c>
      <c r="K23">
        <v>49.3</v>
      </c>
      <c r="L23">
        <v>47.9</v>
      </c>
      <c r="M23" s="2">
        <f t="shared" si="2"/>
        <v>1.3999999999999986</v>
      </c>
      <c r="N23" s="10">
        <f t="shared" si="3"/>
        <v>2.8397565922920864</v>
      </c>
      <c r="O23">
        <v>303</v>
      </c>
      <c r="P23">
        <v>240</v>
      </c>
      <c r="Q23" s="2">
        <f t="shared" si="4"/>
        <v>63</v>
      </c>
      <c r="R23" s="2">
        <f t="shared" si="5"/>
        <v>20.792079207920793</v>
      </c>
      <c r="S23">
        <v>11.2</v>
      </c>
      <c r="T23">
        <v>12</v>
      </c>
      <c r="U23" s="2">
        <f t="shared" si="6"/>
        <v>-0.80000000000000071</v>
      </c>
      <c r="V23">
        <v>10.9</v>
      </c>
      <c r="W23">
        <v>11.9</v>
      </c>
      <c r="X23" s="2">
        <f t="shared" si="7"/>
        <v>-1</v>
      </c>
      <c r="Y23">
        <v>2642</v>
      </c>
      <c r="Z23">
        <v>95</v>
      </c>
      <c r="AA23">
        <v>37</v>
      </c>
      <c r="AB23">
        <v>231</v>
      </c>
      <c r="AC23">
        <v>1826</v>
      </c>
      <c r="AD23">
        <v>4.21</v>
      </c>
      <c r="AE23" s="2">
        <f t="shared" si="8"/>
        <v>3</v>
      </c>
      <c r="AF23">
        <v>73.02</v>
      </c>
      <c r="AG23">
        <v>0.11</v>
      </c>
    </row>
    <row r="24" spans="1:33" x14ac:dyDescent="0.3">
      <c r="A24" s="2">
        <v>23</v>
      </c>
      <c r="B24" t="s">
        <v>43</v>
      </c>
      <c r="C24">
        <v>27</v>
      </c>
      <c r="D24" s="2" t="str">
        <f>LOOKUP(C24,{0,0;16,"16-19";20,"20-24";25,"25-29";30,"30-34";35,"35-39";40,"40-44";45,"45-49";50,"50-54";55,"55-59";60,"60-64"})</f>
        <v>25-29</v>
      </c>
      <c r="E24">
        <v>76</v>
      </c>
      <c r="F24">
        <v>178</v>
      </c>
      <c r="G24">
        <v>16.3</v>
      </c>
      <c r="H24">
        <v>15.6</v>
      </c>
      <c r="I24" s="2">
        <f t="shared" si="0"/>
        <v>0.70000000000000107</v>
      </c>
      <c r="J24" s="10">
        <f t="shared" si="1"/>
        <v>4.2944785276073683</v>
      </c>
      <c r="K24">
        <v>46.7</v>
      </c>
      <c r="L24">
        <v>45.6</v>
      </c>
      <c r="M24" s="2">
        <f t="shared" si="2"/>
        <v>1.1000000000000014</v>
      </c>
      <c r="N24" s="10">
        <f t="shared" si="3"/>
        <v>2.3554603854389748</v>
      </c>
      <c r="O24">
        <v>277</v>
      </c>
      <c r="P24">
        <v>204</v>
      </c>
      <c r="Q24" s="2">
        <f t="shared" si="4"/>
        <v>73</v>
      </c>
      <c r="R24" s="2">
        <f t="shared" si="5"/>
        <v>26.353790613718413</v>
      </c>
      <c r="S24">
        <v>11.4</v>
      </c>
      <c r="T24">
        <v>11.7</v>
      </c>
      <c r="U24" s="2">
        <f t="shared" si="6"/>
        <v>-0.29999999999999893</v>
      </c>
      <c r="V24">
        <v>12.6</v>
      </c>
      <c r="W24">
        <v>13.3</v>
      </c>
      <c r="X24" s="2">
        <f t="shared" si="7"/>
        <v>-0.70000000000000107</v>
      </c>
      <c r="Y24">
        <v>2222</v>
      </c>
      <c r="Z24">
        <v>93</v>
      </c>
      <c r="AA24">
        <v>38</v>
      </c>
      <c r="AB24">
        <v>242</v>
      </c>
      <c r="AC24">
        <v>1340</v>
      </c>
      <c r="AD24">
        <v>3.24</v>
      </c>
      <c r="AE24" s="2">
        <f t="shared" si="8"/>
        <v>2</v>
      </c>
      <c r="AF24">
        <v>78.61</v>
      </c>
      <c r="AG24">
        <v>8.5000000000000006E-2</v>
      </c>
    </row>
    <row r="25" spans="1:33" x14ac:dyDescent="0.3">
      <c r="A25" s="2">
        <v>24</v>
      </c>
      <c r="B25" t="s">
        <v>43</v>
      </c>
      <c r="C25">
        <v>28</v>
      </c>
      <c r="D25" s="2" t="str">
        <f>LOOKUP(C25,{0,0;16,"16-19";20,"20-24";25,"25-29";30,"30-34";35,"35-39";40,"40-44";45,"45-49";50,"50-54";55,"55-59";60,"60-64"})</f>
        <v>25-29</v>
      </c>
      <c r="E25">
        <v>83</v>
      </c>
      <c r="F25">
        <v>176</v>
      </c>
      <c r="G25">
        <v>15.7</v>
      </c>
      <c r="H25">
        <v>15.2</v>
      </c>
      <c r="I25" s="2">
        <f t="shared" si="0"/>
        <v>0.5</v>
      </c>
      <c r="J25" s="10">
        <f t="shared" si="1"/>
        <v>3.1847133757961785</v>
      </c>
      <c r="K25">
        <v>49.4</v>
      </c>
      <c r="L25">
        <v>47.3</v>
      </c>
      <c r="M25" s="2">
        <f t="shared" si="2"/>
        <v>2.1000000000000014</v>
      </c>
      <c r="N25" s="10">
        <f t="shared" si="3"/>
        <v>4.2510121457489909</v>
      </c>
      <c r="O25">
        <v>266</v>
      </c>
      <c r="P25">
        <v>208</v>
      </c>
      <c r="Q25" s="2">
        <f t="shared" si="4"/>
        <v>58</v>
      </c>
      <c r="R25" s="2">
        <f t="shared" si="5"/>
        <v>21.804511278195488</v>
      </c>
      <c r="S25">
        <v>10</v>
      </c>
      <c r="T25">
        <v>10.9</v>
      </c>
      <c r="U25" s="2">
        <f t="shared" si="6"/>
        <v>-0.90000000000000036</v>
      </c>
      <c r="V25">
        <v>10.3</v>
      </c>
      <c r="W25">
        <v>11.2</v>
      </c>
      <c r="X25" s="2">
        <f t="shared" si="7"/>
        <v>-0.89999999999999858</v>
      </c>
      <c r="Y25">
        <v>3125</v>
      </c>
      <c r="Z25">
        <v>125</v>
      </c>
      <c r="AA25">
        <v>55</v>
      </c>
      <c r="AB25">
        <v>236</v>
      </c>
      <c r="AC25">
        <v>1403</v>
      </c>
      <c r="AD25">
        <v>3.31</v>
      </c>
      <c r="AE25" s="2">
        <f t="shared" si="8"/>
        <v>2</v>
      </c>
      <c r="AF25">
        <v>64.52</v>
      </c>
      <c r="AG25">
        <v>0.06</v>
      </c>
    </row>
    <row r="26" spans="1:33" x14ac:dyDescent="0.3">
      <c r="A26" s="2">
        <v>25</v>
      </c>
      <c r="B26" t="s">
        <v>43</v>
      </c>
      <c r="C26">
        <v>38</v>
      </c>
      <c r="D26" s="2" t="str">
        <f>LOOKUP(C26,{0,0;16,"16-19";20,"20-24";25,"25-29";30,"30-34";35,"35-39";40,"40-44";45,"45-49";50,"50-54";55,"55-59";60,"60-64"})</f>
        <v>35-39</v>
      </c>
      <c r="E26">
        <v>70</v>
      </c>
      <c r="F26">
        <v>179</v>
      </c>
      <c r="G26">
        <v>15.2</v>
      </c>
      <c r="H26">
        <v>14.7</v>
      </c>
      <c r="I26" s="2">
        <f t="shared" si="0"/>
        <v>0.5</v>
      </c>
      <c r="J26" s="10">
        <f t="shared" si="1"/>
        <v>3.2894736842105261</v>
      </c>
      <c r="K26">
        <v>43</v>
      </c>
      <c r="L26">
        <v>41.1</v>
      </c>
      <c r="M26" s="2">
        <f t="shared" si="2"/>
        <v>1.8999999999999986</v>
      </c>
      <c r="N26" s="10">
        <f t="shared" si="3"/>
        <v>4.418604651162787</v>
      </c>
      <c r="O26">
        <v>330</v>
      </c>
      <c r="P26">
        <v>271</v>
      </c>
      <c r="Q26" s="2">
        <f t="shared" si="4"/>
        <v>59</v>
      </c>
      <c r="R26" s="2">
        <f t="shared" si="5"/>
        <v>17.878787878787879</v>
      </c>
      <c r="S26">
        <v>9.1</v>
      </c>
      <c r="T26">
        <v>9.8000000000000007</v>
      </c>
      <c r="U26" s="2">
        <f t="shared" si="6"/>
        <v>-0.70000000000000107</v>
      </c>
      <c r="V26">
        <v>10.199999999999999</v>
      </c>
      <c r="W26">
        <v>11.1</v>
      </c>
      <c r="X26" s="2">
        <f t="shared" si="7"/>
        <v>-0.90000000000000036</v>
      </c>
      <c r="Y26">
        <v>2805</v>
      </c>
      <c r="Z26">
        <v>118</v>
      </c>
      <c r="AA26">
        <v>49</v>
      </c>
      <c r="AB26">
        <v>230</v>
      </c>
      <c r="AC26">
        <v>1310</v>
      </c>
      <c r="AD26">
        <v>3.01</v>
      </c>
      <c r="AE26" s="2">
        <f t="shared" si="8"/>
        <v>2</v>
      </c>
      <c r="AF26">
        <v>61.86</v>
      </c>
      <c r="AG26">
        <v>6.0999999999999999E-2</v>
      </c>
    </row>
    <row r="27" spans="1:33" x14ac:dyDescent="0.3">
      <c r="A27" s="2">
        <v>26</v>
      </c>
      <c r="B27" t="s">
        <v>43</v>
      </c>
      <c r="C27">
        <v>36</v>
      </c>
      <c r="D27" s="2" t="str">
        <f>LOOKUP(C27,{0,0;16,"16-19";20,"20-24";25,"25-29";30,"30-34";35,"35-39";40,"40-44";45,"45-49";50,"50-54";55,"55-59";60,"60-64"})</f>
        <v>35-39</v>
      </c>
      <c r="E27">
        <v>70</v>
      </c>
      <c r="F27">
        <v>177</v>
      </c>
      <c r="G27">
        <v>14.6</v>
      </c>
      <c r="H27">
        <v>14.2</v>
      </c>
      <c r="I27" s="2">
        <f t="shared" si="0"/>
        <v>0.40000000000000036</v>
      </c>
      <c r="J27" s="10">
        <f t="shared" si="1"/>
        <v>2.7397260273972628</v>
      </c>
      <c r="K27">
        <v>44.3</v>
      </c>
      <c r="L27">
        <v>42.5</v>
      </c>
      <c r="M27" s="2">
        <f t="shared" si="2"/>
        <v>1.7999999999999972</v>
      </c>
      <c r="N27" s="10">
        <f t="shared" si="3"/>
        <v>4.0632054176072172</v>
      </c>
      <c r="O27">
        <v>228</v>
      </c>
      <c r="P27">
        <v>148</v>
      </c>
      <c r="Q27" s="2">
        <f t="shared" si="4"/>
        <v>80</v>
      </c>
      <c r="R27" s="2">
        <f t="shared" si="5"/>
        <v>35.087719298245609</v>
      </c>
      <c r="S27">
        <v>9.4</v>
      </c>
      <c r="T27">
        <v>10.5</v>
      </c>
      <c r="U27" s="2">
        <f t="shared" si="6"/>
        <v>-1.0999999999999996</v>
      </c>
      <c r="V27">
        <v>13.9</v>
      </c>
      <c r="W27">
        <v>15.2</v>
      </c>
      <c r="X27" s="2">
        <f t="shared" si="7"/>
        <v>-1.2999999999999989</v>
      </c>
      <c r="Y27">
        <v>2707</v>
      </c>
      <c r="Z27">
        <v>97</v>
      </c>
      <c r="AA27">
        <v>60</v>
      </c>
      <c r="AB27">
        <v>238</v>
      </c>
      <c r="AC27">
        <v>1417</v>
      </c>
      <c r="AD27">
        <v>3.37</v>
      </c>
      <c r="AE27" s="2">
        <f t="shared" si="8"/>
        <v>2</v>
      </c>
      <c r="AF27">
        <v>71.75</v>
      </c>
      <c r="AG27">
        <v>5.6000000000000001E-2</v>
      </c>
    </row>
    <row r="28" spans="1:33" x14ac:dyDescent="0.3">
      <c r="A28" s="2">
        <v>27</v>
      </c>
      <c r="B28" t="s">
        <v>43</v>
      </c>
      <c r="C28">
        <v>32</v>
      </c>
      <c r="D28" s="2" t="str">
        <f>LOOKUP(C28,{0,0;16,"16-19";20,"20-24";25,"25-29";30,"30-34";35,"35-39";40,"40-44";45,"45-49";50,"50-54";55,"55-59";60,"60-64"})</f>
        <v>30-34</v>
      </c>
      <c r="E28">
        <v>78</v>
      </c>
      <c r="F28">
        <v>175</v>
      </c>
      <c r="G28">
        <v>15.5</v>
      </c>
      <c r="H28">
        <v>14.6</v>
      </c>
      <c r="I28" s="2">
        <f t="shared" si="0"/>
        <v>0.90000000000000036</v>
      </c>
      <c r="J28" s="10">
        <f t="shared" si="1"/>
        <v>5.8064516129032278</v>
      </c>
      <c r="K28">
        <v>44.7</v>
      </c>
      <c r="L28">
        <v>42.9</v>
      </c>
      <c r="M28" s="2">
        <f t="shared" si="2"/>
        <v>1.8000000000000043</v>
      </c>
      <c r="N28" s="10">
        <f t="shared" si="3"/>
        <v>4.0268456375839019</v>
      </c>
      <c r="O28">
        <v>254</v>
      </c>
      <c r="P28">
        <v>197</v>
      </c>
      <c r="Q28" s="2">
        <f t="shared" si="4"/>
        <v>57</v>
      </c>
      <c r="R28" s="2">
        <f t="shared" si="5"/>
        <v>22.440944881889763</v>
      </c>
      <c r="S28">
        <v>11.5</v>
      </c>
      <c r="T28">
        <v>11.8</v>
      </c>
      <c r="U28" s="2">
        <f t="shared" si="6"/>
        <v>-0.30000000000000071</v>
      </c>
      <c r="V28">
        <v>10.7</v>
      </c>
      <c r="W28">
        <v>11.8</v>
      </c>
      <c r="X28" s="2">
        <f t="shared" si="7"/>
        <v>-1.1000000000000014</v>
      </c>
      <c r="Y28">
        <v>2823</v>
      </c>
      <c r="Z28">
        <v>125</v>
      </c>
      <c r="AA28">
        <v>58</v>
      </c>
      <c r="AB28">
        <v>244</v>
      </c>
      <c r="AC28">
        <v>1587</v>
      </c>
      <c r="AD28">
        <v>3.87</v>
      </c>
      <c r="AE28" s="2">
        <f t="shared" si="8"/>
        <v>3</v>
      </c>
      <c r="AF28">
        <v>75.930000000000007</v>
      </c>
      <c r="AG28">
        <v>6.6000000000000003E-2</v>
      </c>
    </row>
    <row r="29" spans="1:33" x14ac:dyDescent="0.3">
      <c r="A29" s="2">
        <v>28</v>
      </c>
      <c r="B29" t="s">
        <v>43</v>
      </c>
      <c r="C29">
        <v>33</v>
      </c>
      <c r="D29" s="2" t="str">
        <f>LOOKUP(C29,{0,0;16,"16-19";20,"20-24";25,"25-29";30,"30-34";35,"35-39";40,"40-44";45,"45-49";50,"50-54";55,"55-59";60,"60-64"})</f>
        <v>30-34</v>
      </c>
      <c r="E29">
        <v>71</v>
      </c>
      <c r="F29">
        <v>170</v>
      </c>
      <c r="G29">
        <v>14.5</v>
      </c>
      <c r="H29">
        <v>14</v>
      </c>
      <c r="I29" s="2">
        <f t="shared" si="0"/>
        <v>0.5</v>
      </c>
      <c r="J29" s="10">
        <f t="shared" si="1"/>
        <v>3.4482758620689653</v>
      </c>
      <c r="K29">
        <v>41.8</v>
      </c>
      <c r="L29">
        <v>40.4</v>
      </c>
      <c r="M29" s="2">
        <f t="shared" si="2"/>
        <v>1.3999999999999986</v>
      </c>
      <c r="N29" s="10">
        <f t="shared" si="3"/>
        <v>3.3492822966507143</v>
      </c>
      <c r="O29">
        <v>314</v>
      </c>
      <c r="P29">
        <v>238</v>
      </c>
      <c r="Q29" s="2">
        <f t="shared" si="4"/>
        <v>76</v>
      </c>
      <c r="R29" s="2">
        <f t="shared" si="5"/>
        <v>24.203821656050955</v>
      </c>
      <c r="S29">
        <v>10.1</v>
      </c>
      <c r="T29">
        <v>10.3</v>
      </c>
      <c r="U29" s="2">
        <f t="shared" si="6"/>
        <v>-0.20000000000000107</v>
      </c>
      <c r="V29">
        <v>11.2</v>
      </c>
      <c r="W29">
        <v>12.3</v>
      </c>
      <c r="X29" s="2">
        <f t="shared" si="7"/>
        <v>-1.1000000000000014</v>
      </c>
      <c r="Y29">
        <v>2001</v>
      </c>
      <c r="Z29">
        <v>124</v>
      </c>
      <c r="AA29">
        <v>54</v>
      </c>
      <c r="AB29">
        <v>238</v>
      </c>
      <c r="AC29">
        <v>1946</v>
      </c>
      <c r="AD29">
        <v>4.63</v>
      </c>
      <c r="AE29" s="2">
        <f t="shared" si="8"/>
        <v>3</v>
      </c>
      <c r="AF29">
        <v>97.99</v>
      </c>
      <c r="AG29">
        <v>8.5000000000000006E-2</v>
      </c>
    </row>
    <row r="30" spans="1:33" x14ac:dyDescent="0.3">
      <c r="A30" s="2">
        <v>29</v>
      </c>
      <c r="B30" t="s">
        <v>43</v>
      </c>
      <c r="C30">
        <v>27</v>
      </c>
      <c r="D30" s="2" t="str">
        <f>LOOKUP(C30,{0,0;16,"16-19";20,"20-24";25,"25-29";30,"30-34";35,"35-39";40,"40-44";45,"45-49";50,"50-54";55,"55-59";60,"60-64"})</f>
        <v>25-29</v>
      </c>
      <c r="E30">
        <v>79</v>
      </c>
      <c r="F30">
        <v>172</v>
      </c>
      <c r="G30">
        <v>15</v>
      </c>
      <c r="H30">
        <v>14</v>
      </c>
      <c r="I30" s="2">
        <f t="shared" si="0"/>
        <v>1</v>
      </c>
      <c r="J30" s="10">
        <f t="shared" si="1"/>
        <v>6.666666666666667</v>
      </c>
      <c r="K30">
        <v>49.1</v>
      </c>
      <c r="L30">
        <v>47.6</v>
      </c>
      <c r="M30" s="2">
        <f t="shared" si="2"/>
        <v>1.5</v>
      </c>
      <c r="N30" s="10">
        <f t="shared" si="3"/>
        <v>3.0549898167006111</v>
      </c>
      <c r="O30">
        <v>214</v>
      </c>
      <c r="P30">
        <v>157</v>
      </c>
      <c r="Q30" s="2">
        <f t="shared" si="4"/>
        <v>57</v>
      </c>
      <c r="R30" s="2">
        <f t="shared" si="5"/>
        <v>26.635514018691588</v>
      </c>
      <c r="S30">
        <v>9</v>
      </c>
      <c r="T30">
        <v>9.9</v>
      </c>
      <c r="U30" s="2">
        <f t="shared" si="6"/>
        <v>-0.90000000000000036</v>
      </c>
      <c r="V30">
        <v>14.3</v>
      </c>
      <c r="W30">
        <v>15.1</v>
      </c>
      <c r="X30" s="2">
        <f t="shared" si="7"/>
        <v>-0.79999999999999893</v>
      </c>
      <c r="Y30">
        <v>2852</v>
      </c>
      <c r="Z30">
        <v>118</v>
      </c>
      <c r="AA30">
        <v>42</v>
      </c>
      <c r="AB30">
        <v>242</v>
      </c>
      <c r="AC30">
        <v>1639</v>
      </c>
      <c r="AD30">
        <v>3.96</v>
      </c>
      <c r="AE30" s="2">
        <f t="shared" si="8"/>
        <v>3</v>
      </c>
      <c r="AF30">
        <v>73.84</v>
      </c>
      <c r="AG30">
        <v>9.4E-2</v>
      </c>
    </row>
    <row r="31" spans="1:33" x14ac:dyDescent="0.3">
      <c r="A31" s="2">
        <v>30</v>
      </c>
      <c r="B31" t="s">
        <v>43</v>
      </c>
      <c r="C31">
        <v>28</v>
      </c>
      <c r="D31" s="2" t="str">
        <f>LOOKUP(C31,{0,0;16,"16-19";20,"20-24";25,"25-29";30,"30-34";35,"35-39";40,"40-44";45,"45-49";50,"50-54";55,"55-59";60,"60-64"})</f>
        <v>25-29</v>
      </c>
      <c r="E31">
        <v>77</v>
      </c>
      <c r="F31">
        <v>170</v>
      </c>
      <c r="G31">
        <v>15.7</v>
      </c>
      <c r="H31">
        <v>15</v>
      </c>
      <c r="I31" s="2">
        <f t="shared" si="0"/>
        <v>0.69999999999999929</v>
      </c>
      <c r="J31" s="10">
        <f t="shared" si="1"/>
        <v>4.4585987261146451</v>
      </c>
      <c r="K31">
        <v>45.8</v>
      </c>
      <c r="L31">
        <v>43.9</v>
      </c>
      <c r="M31" s="2">
        <f t="shared" si="2"/>
        <v>1.8999999999999986</v>
      </c>
      <c r="N31" s="10">
        <f t="shared" si="3"/>
        <v>4.1484716157205215</v>
      </c>
      <c r="O31">
        <v>211</v>
      </c>
      <c r="P31">
        <v>130</v>
      </c>
      <c r="Q31" s="2">
        <f t="shared" si="4"/>
        <v>81</v>
      </c>
      <c r="R31" s="2">
        <f t="shared" si="5"/>
        <v>38.388625592417064</v>
      </c>
      <c r="S31">
        <v>11</v>
      </c>
      <c r="T31">
        <v>11.1</v>
      </c>
      <c r="U31" s="2">
        <f t="shared" si="6"/>
        <v>-9.9999999999999645E-2</v>
      </c>
      <c r="V31">
        <v>12.5</v>
      </c>
      <c r="W31">
        <v>13.7</v>
      </c>
      <c r="X31" s="2">
        <f t="shared" si="7"/>
        <v>-1.1999999999999993</v>
      </c>
      <c r="Y31">
        <v>2763</v>
      </c>
      <c r="Z31">
        <v>121</v>
      </c>
      <c r="AA31">
        <v>40</v>
      </c>
      <c r="AB31">
        <v>243</v>
      </c>
      <c r="AC31">
        <v>1355</v>
      </c>
      <c r="AD31">
        <v>3.29</v>
      </c>
      <c r="AE31" s="2">
        <f t="shared" si="8"/>
        <v>2</v>
      </c>
      <c r="AF31">
        <v>72.45</v>
      </c>
      <c r="AG31">
        <v>8.2000000000000003E-2</v>
      </c>
    </row>
    <row r="32" spans="1:33" x14ac:dyDescent="0.3">
      <c r="A32" s="2">
        <v>31</v>
      </c>
      <c r="B32" s="2" t="s">
        <v>81</v>
      </c>
      <c r="C32" s="2">
        <v>26</v>
      </c>
      <c r="D32" s="2" t="str">
        <f>LOOKUP(C32,{0,0;16,"16-19";20,"20-24";25,"25-29";30,"30-34";35,"35-39";40,"40-44";45,"45-49";50,"50-54";55,"55-59";60,"60-64"})</f>
        <v>25-29</v>
      </c>
      <c r="E32" s="2">
        <v>68</v>
      </c>
      <c r="F32" s="2">
        <v>170</v>
      </c>
      <c r="G32" s="2">
        <v>14.3</v>
      </c>
      <c r="H32" s="2">
        <v>14</v>
      </c>
      <c r="I32" s="2">
        <f t="shared" si="0"/>
        <v>0.30000000000000071</v>
      </c>
      <c r="J32" s="10">
        <f t="shared" si="1"/>
        <v>2.0979020979021028</v>
      </c>
      <c r="K32" s="2">
        <v>38.700000000000003</v>
      </c>
      <c r="L32" s="2">
        <v>37.6</v>
      </c>
      <c r="M32" s="2">
        <f t="shared" si="2"/>
        <v>1.1000000000000014</v>
      </c>
      <c r="N32" s="10">
        <f t="shared" si="3"/>
        <v>2.8423772609819156</v>
      </c>
      <c r="O32" s="2">
        <v>278</v>
      </c>
      <c r="P32" s="2">
        <v>180</v>
      </c>
      <c r="Q32" s="2">
        <f t="shared" si="4"/>
        <v>98</v>
      </c>
      <c r="R32" s="2">
        <f t="shared" si="5"/>
        <v>35.251798561151077</v>
      </c>
      <c r="S32" s="2">
        <v>11.3</v>
      </c>
      <c r="T32" s="2">
        <v>11.5</v>
      </c>
      <c r="U32" s="2">
        <f t="shared" si="6"/>
        <v>-0.19999999999999929</v>
      </c>
      <c r="V32" s="2">
        <v>12.8</v>
      </c>
      <c r="W32" s="2">
        <v>13.9</v>
      </c>
      <c r="X32" s="2">
        <f t="shared" si="7"/>
        <v>-1.0999999999999996</v>
      </c>
      <c r="Y32" s="2">
        <v>2918</v>
      </c>
      <c r="Z32" s="2">
        <v>75</v>
      </c>
      <c r="AA32" s="2">
        <v>73</v>
      </c>
      <c r="AB32" s="2">
        <v>349</v>
      </c>
      <c r="AC32" s="2">
        <v>1208</v>
      </c>
      <c r="AD32" s="2">
        <v>4.22</v>
      </c>
      <c r="AE32" s="2">
        <f t="shared" si="8"/>
        <v>3</v>
      </c>
      <c r="AF32" s="2">
        <v>63.15</v>
      </c>
      <c r="AG32" s="2">
        <v>5.7000000000000002E-2</v>
      </c>
    </row>
    <row r="33" spans="1:33" x14ac:dyDescent="0.3">
      <c r="A33" s="2">
        <v>32</v>
      </c>
      <c r="B33" s="2" t="s">
        <v>81</v>
      </c>
      <c r="C33" s="2">
        <v>19</v>
      </c>
      <c r="D33" s="2" t="str">
        <f>LOOKUP(C33,{0,0;16,"16-19";20,"20-24";25,"25-29";30,"30-34";35,"35-39";40,"40-44";45,"45-49";50,"50-54";55,"55-59";60,"60-64"})</f>
        <v>16-19</v>
      </c>
      <c r="E33" s="2">
        <v>73</v>
      </c>
      <c r="F33" s="2">
        <v>172</v>
      </c>
      <c r="G33" s="2">
        <v>14.1</v>
      </c>
      <c r="H33" s="2">
        <v>13.7</v>
      </c>
      <c r="I33" s="2">
        <f t="shared" si="0"/>
        <v>0.40000000000000036</v>
      </c>
      <c r="J33" s="10">
        <f t="shared" si="1"/>
        <v>2.8368794326241162</v>
      </c>
      <c r="K33" s="2">
        <v>42.2</v>
      </c>
      <c r="L33" s="2">
        <v>40.6</v>
      </c>
      <c r="M33" s="2">
        <f t="shared" si="2"/>
        <v>1.6000000000000014</v>
      </c>
      <c r="N33" s="10">
        <f t="shared" si="3"/>
        <v>3.7914691943127994</v>
      </c>
      <c r="O33" s="2">
        <v>449</v>
      </c>
      <c r="P33" s="2">
        <v>347</v>
      </c>
      <c r="Q33" s="2">
        <f t="shared" si="4"/>
        <v>102</v>
      </c>
      <c r="R33" s="2">
        <f t="shared" si="5"/>
        <v>22.717149220489976</v>
      </c>
      <c r="S33" s="2">
        <v>8.9</v>
      </c>
      <c r="T33" s="2">
        <v>9</v>
      </c>
      <c r="U33" s="2">
        <f t="shared" si="6"/>
        <v>-9.9999999999999645E-2</v>
      </c>
      <c r="V33" s="2">
        <v>10.5</v>
      </c>
      <c r="W33" s="2">
        <v>10.9</v>
      </c>
      <c r="X33" s="2">
        <f t="shared" si="7"/>
        <v>-0.40000000000000036</v>
      </c>
      <c r="Y33" s="2">
        <v>1869</v>
      </c>
      <c r="Z33" s="2">
        <v>79</v>
      </c>
      <c r="AA33" s="2">
        <v>47</v>
      </c>
      <c r="AB33" s="2">
        <v>327</v>
      </c>
      <c r="AC33" s="2">
        <v>739</v>
      </c>
      <c r="AD33" s="2">
        <v>2.41</v>
      </c>
      <c r="AE33" s="2">
        <f t="shared" si="8"/>
        <v>1</v>
      </c>
      <c r="AF33" s="2">
        <v>32.43</v>
      </c>
      <c r="AG33" s="2">
        <v>5.0999999999999997E-2</v>
      </c>
    </row>
    <row r="34" spans="1:33" x14ac:dyDescent="0.3">
      <c r="A34" s="2">
        <v>33</v>
      </c>
      <c r="B34" s="2" t="s">
        <v>81</v>
      </c>
      <c r="C34" s="2">
        <v>23</v>
      </c>
      <c r="D34" s="2" t="str">
        <f>LOOKUP(C34,{0,0;16,"16-19";20,"20-24";25,"25-29";30,"30-34";35,"35-39";40,"40-44";45,"45-49";50,"50-54";55,"55-59";60,"60-64"})</f>
        <v>20-24</v>
      </c>
      <c r="E34" s="2">
        <v>86</v>
      </c>
      <c r="F34" s="2">
        <v>181</v>
      </c>
      <c r="G34" s="2">
        <v>16.3</v>
      </c>
      <c r="H34" s="2">
        <v>16</v>
      </c>
      <c r="I34" s="2">
        <f t="shared" si="0"/>
        <v>0.30000000000000071</v>
      </c>
      <c r="J34" s="10">
        <f t="shared" si="1"/>
        <v>1.8404907975460165</v>
      </c>
      <c r="K34" s="2">
        <v>46.6</v>
      </c>
      <c r="L34" s="2">
        <v>44</v>
      </c>
      <c r="M34" s="2">
        <f t="shared" si="2"/>
        <v>2.6000000000000014</v>
      </c>
      <c r="N34" s="10">
        <f t="shared" si="3"/>
        <v>5.5793991416309048</v>
      </c>
      <c r="O34" s="2">
        <v>244</v>
      </c>
      <c r="P34" s="2">
        <v>177</v>
      </c>
      <c r="Q34" s="2">
        <f t="shared" si="4"/>
        <v>67</v>
      </c>
      <c r="R34" s="2">
        <f t="shared" si="5"/>
        <v>27.459016393442624</v>
      </c>
      <c r="S34" s="2">
        <v>10.3</v>
      </c>
      <c r="T34" s="2">
        <v>10.5</v>
      </c>
      <c r="U34" s="2">
        <f t="shared" si="6"/>
        <v>-0.19999999999999929</v>
      </c>
      <c r="V34" s="2">
        <v>12.6</v>
      </c>
      <c r="W34" s="2">
        <v>12.9</v>
      </c>
      <c r="X34" s="2">
        <f t="shared" si="7"/>
        <v>-0.30000000000000071</v>
      </c>
      <c r="Y34" s="2">
        <v>3414</v>
      </c>
      <c r="Z34" s="2">
        <v>75</v>
      </c>
      <c r="AA34" s="2">
        <v>90</v>
      </c>
      <c r="AB34" s="2">
        <v>325</v>
      </c>
      <c r="AC34" s="2">
        <v>1053</v>
      </c>
      <c r="AD34" s="2">
        <v>3.86</v>
      </c>
      <c r="AE34" s="2">
        <f t="shared" si="8"/>
        <v>3</v>
      </c>
      <c r="AF34" s="2">
        <v>53.76</v>
      </c>
      <c r="AG34" s="2">
        <v>4.2000000000000003E-2</v>
      </c>
    </row>
    <row r="35" spans="1:33" x14ac:dyDescent="0.3">
      <c r="A35" s="2">
        <v>34</v>
      </c>
      <c r="B35" s="2" t="s">
        <v>81</v>
      </c>
      <c r="C35" s="2">
        <v>23</v>
      </c>
      <c r="D35" s="2" t="str">
        <f>LOOKUP(C35,{0,0;16,"16-19";20,"20-24";25,"25-29";30,"30-34";35,"35-39";40,"40-44";45,"45-49";50,"50-54";55,"55-59";60,"60-64"})</f>
        <v>20-24</v>
      </c>
      <c r="E35" s="2">
        <v>68</v>
      </c>
      <c r="F35" s="2">
        <v>178</v>
      </c>
      <c r="G35" s="2">
        <v>14.6</v>
      </c>
      <c r="H35" s="2">
        <v>14.1</v>
      </c>
      <c r="I35" s="2">
        <f t="shared" si="0"/>
        <v>0.5</v>
      </c>
      <c r="J35" s="10">
        <f t="shared" si="1"/>
        <v>3.4246575342465753</v>
      </c>
      <c r="K35" s="2">
        <v>42.8</v>
      </c>
      <c r="L35" s="2">
        <v>41.5</v>
      </c>
      <c r="M35" s="2">
        <f t="shared" si="2"/>
        <v>1.2999999999999972</v>
      </c>
      <c r="N35" s="10">
        <f t="shared" si="3"/>
        <v>3.0373831775700868</v>
      </c>
      <c r="O35" s="2">
        <v>282</v>
      </c>
      <c r="P35" s="2">
        <v>213</v>
      </c>
      <c r="Q35" s="2">
        <f t="shared" si="4"/>
        <v>69</v>
      </c>
      <c r="R35" s="2">
        <f t="shared" si="5"/>
        <v>24.468085106382979</v>
      </c>
      <c r="S35" s="2">
        <v>9.6</v>
      </c>
      <c r="T35" s="2">
        <v>10.3</v>
      </c>
      <c r="U35" s="2">
        <f t="shared" si="6"/>
        <v>-0.70000000000000107</v>
      </c>
      <c r="V35" s="2">
        <v>11.7</v>
      </c>
      <c r="W35" s="2">
        <v>12.6</v>
      </c>
      <c r="X35" s="2">
        <f t="shared" si="7"/>
        <v>-0.90000000000000036</v>
      </c>
      <c r="Y35" s="2">
        <v>2779</v>
      </c>
      <c r="Z35" s="2">
        <v>75</v>
      </c>
      <c r="AA35" s="2">
        <v>73</v>
      </c>
      <c r="AB35" s="2">
        <v>326</v>
      </c>
      <c r="AC35" s="2">
        <v>1186</v>
      </c>
      <c r="AD35" s="2">
        <v>3.86</v>
      </c>
      <c r="AE35" s="2">
        <f t="shared" si="8"/>
        <v>3</v>
      </c>
      <c r="AF35" s="2">
        <v>55.9</v>
      </c>
      <c r="AG35" s="2">
        <v>5.1999999999999998E-2</v>
      </c>
    </row>
    <row r="36" spans="1:33" x14ac:dyDescent="0.3">
      <c r="A36" s="2">
        <v>35</v>
      </c>
      <c r="B36" s="2" t="s">
        <v>81</v>
      </c>
      <c r="C36" s="2">
        <v>40</v>
      </c>
      <c r="D36" s="2" t="str">
        <f>LOOKUP(C36,{0,0;16,"16-19";20,"20-24";25,"25-29";30,"30-34";35,"35-39";40,"40-44";45,"45-49";50,"50-54";55,"55-59";60,"60-64"})</f>
        <v>40-44</v>
      </c>
      <c r="E36" s="2">
        <v>85</v>
      </c>
      <c r="F36" s="2">
        <v>172</v>
      </c>
      <c r="G36" s="2">
        <v>16</v>
      </c>
      <c r="H36" s="2">
        <v>15.5</v>
      </c>
      <c r="I36" s="2">
        <f t="shared" si="0"/>
        <v>0.5</v>
      </c>
      <c r="J36" s="10">
        <f t="shared" si="1"/>
        <v>3.125</v>
      </c>
      <c r="K36" s="2">
        <v>46.9</v>
      </c>
      <c r="L36" s="2">
        <v>46.5</v>
      </c>
      <c r="M36" s="2">
        <f t="shared" si="2"/>
        <v>0.39999999999999858</v>
      </c>
      <c r="N36" s="10">
        <f t="shared" si="3"/>
        <v>0.8528784648187604</v>
      </c>
      <c r="O36" s="2">
        <v>293</v>
      </c>
      <c r="P36" s="2">
        <v>213</v>
      </c>
      <c r="Q36" s="2">
        <f t="shared" si="4"/>
        <v>80</v>
      </c>
      <c r="R36" s="2">
        <f t="shared" si="5"/>
        <v>27.303754266211605</v>
      </c>
      <c r="S36" s="2">
        <v>8.6999999999999993</v>
      </c>
      <c r="T36" s="2">
        <v>9.8000000000000007</v>
      </c>
      <c r="U36" s="2">
        <f t="shared" si="6"/>
        <v>-1.1000000000000014</v>
      </c>
      <c r="V36" s="2">
        <v>9.8000000000000007</v>
      </c>
      <c r="W36" s="2">
        <v>10.5</v>
      </c>
      <c r="X36" s="2">
        <f t="shared" si="7"/>
        <v>-0.69999999999999929</v>
      </c>
      <c r="Y36" s="2">
        <v>2650</v>
      </c>
      <c r="Z36" s="2">
        <v>75</v>
      </c>
      <c r="AA36" s="2">
        <v>69</v>
      </c>
      <c r="AB36" s="2">
        <v>326</v>
      </c>
      <c r="AC36" s="2">
        <v>1126</v>
      </c>
      <c r="AD36" s="2">
        <v>3.67</v>
      </c>
      <c r="AE36" s="2">
        <f t="shared" si="8"/>
        <v>3</v>
      </c>
      <c r="AF36" s="2">
        <v>57.6</v>
      </c>
      <c r="AG36" s="2">
        <v>5.2999999999999999E-2</v>
      </c>
    </row>
    <row r="37" spans="1:33" x14ac:dyDescent="0.3">
      <c r="A37" s="2">
        <v>36</v>
      </c>
      <c r="B37" s="2" t="s">
        <v>81</v>
      </c>
      <c r="C37" s="2">
        <v>26</v>
      </c>
      <c r="D37" s="2" t="str">
        <f>LOOKUP(C37,{0,0;16,"16-19";20,"20-24";25,"25-29";30,"30-34";35,"35-39";40,"40-44";45,"45-49";50,"50-54";55,"55-59";60,"60-64"})</f>
        <v>25-29</v>
      </c>
      <c r="E37" s="2">
        <v>75</v>
      </c>
      <c r="F37" s="2">
        <v>174</v>
      </c>
      <c r="G37" s="2">
        <v>15</v>
      </c>
      <c r="H37" s="2">
        <v>14.5</v>
      </c>
      <c r="I37" s="2">
        <f t="shared" si="0"/>
        <v>0.5</v>
      </c>
      <c r="J37" s="10">
        <f t="shared" si="1"/>
        <v>3.3333333333333335</v>
      </c>
      <c r="K37" s="2">
        <v>47.4</v>
      </c>
      <c r="L37" s="2">
        <v>47</v>
      </c>
      <c r="M37" s="2">
        <f t="shared" si="2"/>
        <v>0.39999999999999858</v>
      </c>
      <c r="N37" s="10">
        <f t="shared" si="3"/>
        <v>0.84388185654008141</v>
      </c>
      <c r="O37" s="2">
        <v>279</v>
      </c>
      <c r="P37" s="2">
        <v>204</v>
      </c>
      <c r="Q37" s="2">
        <f t="shared" si="4"/>
        <v>75</v>
      </c>
      <c r="R37" s="2">
        <f t="shared" si="5"/>
        <v>26.881720430107524</v>
      </c>
      <c r="S37" s="2">
        <v>8.6999999999999993</v>
      </c>
      <c r="T37" s="2">
        <v>9.3000000000000007</v>
      </c>
      <c r="U37" s="2">
        <f t="shared" si="6"/>
        <v>-0.60000000000000142</v>
      </c>
      <c r="V37" s="2">
        <v>9.1</v>
      </c>
      <c r="W37" s="2">
        <v>10</v>
      </c>
      <c r="X37" s="2">
        <f t="shared" si="7"/>
        <v>-0.90000000000000036</v>
      </c>
      <c r="Y37" s="2">
        <v>2916</v>
      </c>
      <c r="Z37" s="2">
        <v>79</v>
      </c>
      <c r="AA37" s="2">
        <v>73</v>
      </c>
      <c r="AB37" s="2">
        <v>349</v>
      </c>
      <c r="AC37" s="2">
        <v>1188</v>
      </c>
      <c r="AD37" s="2">
        <v>4.1399999999999997</v>
      </c>
      <c r="AE37" s="2">
        <f t="shared" si="8"/>
        <v>3</v>
      </c>
      <c r="AF37" s="2">
        <v>58.9</v>
      </c>
      <c r="AG37" s="2">
        <v>5.6000000000000001E-2</v>
      </c>
    </row>
    <row r="38" spans="1:33" x14ac:dyDescent="0.3">
      <c r="A38" s="2">
        <v>37</v>
      </c>
      <c r="B38" s="2" t="s">
        <v>81</v>
      </c>
      <c r="C38" s="2">
        <v>24</v>
      </c>
      <c r="D38" s="2" t="str">
        <f>LOOKUP(C38,{0,0;16,"16-19";20,"20-24";25,"25-29";30,"30-34";35,"35-39";40,"40-44";45,"45-49";50,"50-54";55,"55-59";60,"60-64"})</f>
        <v>20-24</v>
      </c>
      <c r="E38" s="2">
        <v>72</v>
      </c>
      <c r="F38" s="2">
        <v>167</v>
      </c>
      <c r="G38" s="2">
        <v>14.3</v>
      </c>
      <c r="H38" s="2">
        <v>14</v>
      </c>
      <c r="I38" s="2">
        <f t="shared" si="0"/>
        <v>0.30000000000000071</v>
      </c>
      <c r="J38" s="10">
        <f t="shared" si="1"/>
        <v>2.0979020979021028</v>
      </c>
      <c r="K38" s="2">
        <v>43.9</v>
      </c>
      <c r="L38" s="2">
        <v>43.6</v>
      </c>
      <c r="M38" s="2">
        <f t="shared" si="2"/>
        <v>0.29999999999999716</v>
      </c>
      <c r="N38" s="10">
        <f t="shared" si="3"/>
        <v>0.68337129840546051</v>
      </c>
      <c r="O38" s="2">
        <v>298</v>
      </c>
      <c r="P38" s="2">
        <v>212</v>
      </c>
      <c r="Q38" s="2">
        <f t="shared" si="4"/>
        <v>86</v>
      </c>
      <c r="R38" s="2">
        <f t="shared" si="5"/>
        <v>28.859060402684566</v>
      </c>
      <c r="S38" s="2">
        <v>11.3</v>
      </c>
      <c r="T38" s="2">
        <v>11.7</v>
      </c>
      <c r="U38" s="2">
        <f t="shared" si="6"/>
        <v>-0.39999999999999858</v>
      </c>
      <c r="V38" s="2">
        <v>13.6</v>
      </c>
      <c r="W38" s="2">
        <v>13.8</v>
      </c>
      <c r="X38" s="2">
        <f t="shared" si="7"/>
        <v>-0.20000000000000107</v>
      </c>
      <c r="Y38" s="2">
        <v>2772</v>
      </c>
      <c r="Z38" s="2">
        <v>75</v>
      </c>
      <c r="AA38" s="2">
        <v>69</v>
      </c>
      <c r="AB38" s="2">
        <v>349</v>
      </c>
      <c r="AC38" s="2">
        <v>1170</v>
      </c>
      <c r="AD38" s="2">
        <v>4.08</v>
      </c>
      <c r="AE38" s="2">
        <f t="shared" si="8"/>
        <v>3</v>
      </c>
      <c r="AF38" s="2">
        <v>57.8</v>
      </c>
      <c r="AG38" s="2">
        <v>5.8999999999999997E-2</v>
      </c>
    </row>
    <row r="39" spans="1:33" x14ac:dyDescent="0.3">
      <c r="A39" s="2">
        <v>38</v>
      </c>
      <c r="B39" s="2" t="s">
        <v>81</v>
      </c>
      <c r="C39" s="2">
        <v>26</v>
      </c>
      <c r="D39" s="2" t="str">
        <f>LOOKUP(C39,{0,0;16,"16-19";20,"20-24";25,"25-29";30,"30-34";35,"35-39";40,"40-44";45,"45-49";50,"50-54";55,"55-59";60,"60-64"})</f>
        <v>25-29</v>
      </c>
      <c r="E39" s="2">
        <v>65</v>
      </c>
      <c r="F39" s="2">
        <v>166</v>
      </c>
      <c r="G39" s="2">
        <v>15.2</v>
      </c>
      <c r="H39" s="2">
        <v>14.9</v>
      </c>
      <c r="I39" s="2">
        <f t="shared" si="0"/>
        <v>0.29999999999999893</v>
      </c>
      <c r="J39" s="10">
        <f t="shared" si="1"/>
        <v>1.9736842105263088</v>
      </c>
      <c r="K39" s="2">
        <v>48.6</v>
      </c>
      <c r="L39" s="2">
        <v>46.8</v>
      </c>
      <c r="M39" s="2">
        <f t="shared" si="2"/>
        <v>1.8000000000000043</v>
      </c>
      <c r="N39" s="10">
        <f t="shared" si="3"/>
        <v>3.7037037037037126</v>
      </c>
      <c r="O39" s="2">
        <v>298</v>
      </c>
      <c r="P39" s="2">
        <v>217</v>
      </c>
      <c r="Q39" s="2">
        <f t="shared" si="4"/>
        <v>81</v>
      </c>
      <c r="R39" s="2">
        <f t="shared" si="5"/>
        <v>27.181208053691275</v>
      </c>
      <c r="S39" s="2">
        <v>11.1</v>
      </c>
      <c r="T39" s="2">
        <v>11.8</v>
      </c>
      <c r="U39" s="2">
        <f t="shared" si="6"/>
        <v>-0.70000000000000107</v>
      </c>
      <c r="V39" s="2">
        <v>13.5</v>
      </c>
      <c r="W39" s="2">
        <v>15.1</v>
      </c>
      <c r="X39" s="2">
        <f t="shared" si="7"/>
        <v>-1.5999999999999996</v>
      </c>
      <c r="Y39" s="2">
        <v>2799</v>
      </c>
      <c r="Z39" s="2">
        <v>74</v>
      </c>
      <c r="AA39" s="2">
        <v>70</v>
      </c>
      <c r="AB39" s="2">
        <v>349</v>
      </c>
      <c r="AC39" s="2">
        <v>1221</v>
      </c>
      <c r="AD39" s="2">
        <v>4.26</v>
      </c>
      <c r="AE39" s="2">
        <f t="shared" si="8"/>
        <v>3</v>
      </c>
      <c r="AF39" s="2">
        <v>59.1</v>
      </c>
      <c r="AG39" s="2">
        <v>0.06</v>
      </c>
    </row>
    <row r="40" spans="1:33" x14ac:dyDescent="0.3">
      <c r="A40" s="2">
        <v>39</v>
      </c>
      <c r="B40" s="2" t="s">
        <v>81</v>
      </c>
      <c r="C40" s="2">
        <v>32</v>
      </c>
      <c r="D40" s="2" t="str">
        <f>LOOKUP(C40,{0,0;16,"16-19";20,"20-24";25,"25-29";30,"30-34";35,"35-39";40,"40-44";45,"45-49";50,"50-54";55,"55-59";60,"60-64"})</f>
        <v>30-34</v>
      </c>
      <c r="E40" s="2">
        <v>69</v>
      </c>
      <c r="F40" s="2">
        <v>173</v>
      </c>
      <c r="G40" s="2">
        <v>13.8</v>
      </c>
      <c r="H40" s="2">
        <v>13.8</v>
      </c>
      <c r="I40" s="2">
        <f t="shared" si="0"/>
        <v>0</v>
      </c>
      <c r="J40" s="10">
        <f t="shared" si="1"/>
        <v>0</v>
      </c>
      <c r="K40" s="2">
        <v>43.7</v>
      </c>
      <c r="L40" s="2">
        <v>43</v>
      </c>
      <c r="M40" s="2">
        <f t="shared" si="2"/>
        <v>0.70000000000000284</v>
      </c>
      <c r="N40" s="10">
        <f t="shared" si="3"/>
        <v>1.601830663615567</v>
      </c>
      <c r="O40" s="2">
        <v>315</v>
      </c>
      <c r="P40" s="2">
        <v>231</v>
      </c>
      <c r="Q40" s="2">
        <f t="shared" si="4"/>
        <v>84</v>
      </c>
      <c r="R40" s="2">
        <f t="shared" si="5"/>
        <v>26.666666666666668</v>
      </c>
      <c r="S40" s="2">
        <v>9.1</v>
      </c>
      <c r="T40" s="2">
        <v>9.5</v>
      </c>
      <c r="U40" s="2">
        <f t="shared" si="6"/>
        <v>-0.40000000000000036</v>
      </c>
      <c r="V40" s="2">
        <v>11.1</v>
      </c>
      <c r="W40" s="2">
        <v>9.6999999999999993</v>
      </c>
      <c r="X40" s="2">
        <f t="shared" si="7"/>
        <v>1.4000000000000004</v>
      </c>
      <c r="Y40" s="2">
        <v>2625</v>
      </c>
      <c r="Z40" s="2">
        <v>75</v>
      </c>
      <c r="AA40" s="2">
        <v>65</v>
      </c>
      <c r="AB40" s="2">
        <v>350</v>
      </c>
      <c r="AC40" s="2">
        <v>1221</v>
      </c>
      <c r="AD40" s="2">
        <v>4.2699999999999996</v>
      </c>
      <c r="AE40" s="2">
        <f t="shared" si="8"/>
        <v>3</v>
      </c>
      <c r="AF40" s="2">
        <v>60</v>
      </c>
      <c r="AG40" s="2">
        <v>6.5000000000000002E-2</v>
      </c>
    </row>
    <row r="41" spans="1:33" x14ac:dyDescent="0.3">
      <c r="A41" s="2">
        <v>40</v>
      </c>
      <c r="B41" s="2" t="s">
        <v>81</v>
      </c>
      <c r="C41" s="2">
        <v>32</v>
      </c>
      <c r="D41" s="2" t="str">
        <f>LOOKUP(C41,{0,0;16,"16-19";20,"20-24";25,"25-29";30,"30-34";35,"35-39";40,"40-44";45,"45-49";50,"50-54";55,"55-59";60,"60-64"})</f>
        <v>30-34</v>
      </c>
      <c r="E41" s="2">
        <v>83</v>
      </c>
      <c r="F41" s="2">
        <v>175</v>
      </c>
      <c r="G41" s="2">
        <v>13.8</v>
      </c>
      <c r="H41" s="2">
        <v>13.5</v>
      </c>
      <c r="I41" s="2">
        <f t="shared" si="0"/>
        <v>0.30000000000000071</v>
      </c>
      <c r="J41" s="10">
        <f t="shared" si="1"/>
        <v>2.1739130434782661</v>
      </c>
      <c r="K41" s="2">
        <v>44.7</v>
      </c>
      <c r="L41" s="2">
        <v>42</v>
      </c>
      <c r="M41" s="2">
        <f t="shared" si="2"/>
        <v>2.7000000000000028</v>
      </c>
      <c r="N41" s="10">
        <f t="shared" si="3"/>
        <v>6.0402684563758449</v>
      </c>
      <c r="O41" s="2">
        <v>233</v>
      </c>
      <c r="P41" s="2">
        <v>187</v>
      </c>
      <c r="Q41" s="2">
        <f t="shared" si="4"/>
        <v>46</v>
      </c>
      <c r="R41" s="2">
        <f t="shared" si="5"/>
        <v>19.742489270386265</v>
      </c>
      <c r="S41" s="2">
        <v>11.6</v>
      </c>
      <c r="T41" s="2">
        <v>11.9</v>
      </c>
      <c r="U41" s="2">
        <f t="shared" si="6"/>
        <v>-0.30000000000000071</v>
      </c>
      <c r="V41" s="2">
        <v>14.4</v>
      </c>
      <c r="W41" s="2">
        <v>15.2</v>
      </c>
      <c r="X41" s="2">
        <f t="shared" si="7"/>
        <v>-0.79999999999999893</v>
      </c>
      <c r="Y41" s="2">
        <v>3532</v>
      </c>
      <c r="Z41" s="2">
        <v>75</v>
      </c>
      <c r="AA41" s="2">
        <v>89</v>
      </c>
      <c r="AB41" s="2">
        <v>348</v>
      </c>
      <c r="AC41" s="2">
        <v>1209</v>
      </c>
      <c r="AD41" s="2">
        <v>4.2</v>
      </c>
      <c r="AE41" s="2">
        <f t="shared" si="8"/>
        <v>3</v>
      </c>
      <c r="AF41" s="2">
        <v>57</v>
      </c>
      <c r="AG41" s="2">
        <v>4.7E-2</v>
      </c>
    </row>
    <row r="42" spans="1:33" x14ac:dyDescent="0.3">
      <c r="A42" s="2">
        <v>41</v>
      </c>
      <c r="B42" s="2" t="s">
        <v>81</v>
      </c>
      <c r="C42" s="2">
        <v>25</v>
      </c>
      <c r="D42" s="2" t="str">
        <f>LOOKUP(C42,{0,0;16,"16-19";20,"20-24";25,"25-29";30,"30-34";35,"35-39";40,"40-44";45,"45-49";50,"50-54";55,"55-59";60,"60-64"})</f>
        <v>25-29</v>
      </c>
      <c r="E42" s="2">
        <v>60</v>
      </c>
      <c r="F42" s="2">
        <v>177</v>
      </c>
      <c r="G42" s="2">
        <v>15.6</v>
      </c>
      <c r="H42" s="2">
        <v>15</v>
      </c>
      <c r="I42" s="2">
        <f t="shared" si="0"/>
        <v>0.59999999999999964</v>
      </c>
      <c r="J42" s="10">
        <f t="shared" si="1"/>
        <v>3.8461538461538445</v>
      </c>
      <c r="K42" s="2">
        <v>45.5</v>
      </c>
      <c r="L42" s="2">
        <v>45.2</v>
      </c>
      <c r="M42" s="2">
        <f t="shared" si="2"/>
        <v>0.29999999999999716</v>
      </c>
      <c r="N42" s="10">
        <f t="shared" si="3"/>
        <v>0.65934065934065311</v>
      </c>
      <c r="O42" s="2">
        <v>245</v>
      </c>
      <c r="P42" s="2">
        <v>164</v>
      </c>
      <c r="Q42" s="2">
        <f t="shared" si="4"/>
        <v>81</v>
      </c>
      <c r="R42" s="2">
        <f t="shared" si="5"/>
        <v>33.061224489795919</v>
      </c>
      <c r="S42" s="2">
        <v>10.1</v>
      </c>
      <c r="T42" s="2">
        <v>10.5</v>
      </c>
      <c r="U42" s="2">
        <f t="shared" si="6"/>
        <v>-0.40000000000000036</v>
      </c>
      <c r="V42" s="2">
        <v>12.1</v>
      </c>
      <c r="W42" s="2">
        <v>13.3</v>
      </c>
      <c r="X42" s="2">
        <f t="shared" si="7"/>
        <v>-1.2000000000000011</v>
      </c>
      <c r="Y42" s="2">
        <v>3094</v>
      </c>
      <c r="Z42" s="2">
        <v>75</v>
      </c>
      <c r="AA42" s="2">
        <v>82</v>
      </c>
      <c r="AB42" s="2">
        <v>325</v>
      </c>
      <c r="AC42" s="2">
        <v>1089</v>
      </c>
      <c r="AD42" s="2">
        <v>3.53</v>
      </c>
      <c r="AE42" s="2">
        <f t="shared" si="8"/>
        <v>3</v>
      </c>
      <c r="AF42" s="2">
        <v>56</v>
      </c>
      <c r="AG42" s="2">
        <v>4.2999999999999997E-2</v>
      </c>
    </row>
    <row r="43" spans="1:33" x14ac:dyDescent="0.3">
      <c r="A43" s="2">
        <v>42</v>
      </c>
      <c r="B43" s="2" t="s">
        <v>81</v>
      </c>
      <c r="C43" s="2">
        <v>30</v>
      </c>
      <c r="D43" s="2" t="str">
        <f>LOOKUP(C43,{0,0;16,"16-19";20,"20-24";25,"25-29";30,"30-34";35,"35-39";40,"40-44";45,"45-49";50,"50-54";55,"55-59";60,"60-64"})</f>
        <v>30-34</v>
      </c>
      <c r="E43" s="2">
        <v>73</v>
      </c>
      <c r="F43" s="2">
        <v>175</v>
      </c>
      <c r="G43" s="2">
        <v>15.4</v>
      </c>
      <c r="H43" s="2">
        <v>15.1</v>
      </c>
      <c r="I43" s="2">
        <f t="shared" si="0"/>
        <v>0.30000000000000071</v>
      </c>
      <c r="J43" s="10">
        <f t="shared" si="1"/>
        <v>1.9480519480519525</v>
      </c>
      <c r="K43" s="2">
        <v>43.2</v>
      </c>
      <c r="L43" s="2">
        <v>42.6</v>
      </c>
      <c r="M43" s="2">
        <f t="shared" si="2"/>
        <v>0.60000000000000142</v>
      </c>
      <c r="N43" s="10">
        <f t="shared" si="3"/>
        <v>1.3888888888888922</v>
      </c>
      <c r="O43" s="2">
        <v>253</v>
      </c>
      <c r="P43" s="2">
        <v>188</v>
      </c>
      <c r="Q43" s="2">
        <f t="shared" si="4"/>
        <v>65</v>
      </c>
      <c r="R43" s="2">
        <f t="shared" si="5"/>
        <v>25.691699604743086</v>
      </c>
      <c r="S43" s="2">
        <v>10.7</v>
      </c>
      <c r="T43" s="2">
        <v>11.2</v>
      </c>
      <c r="U43" s="2">
        <f t="shared" si="6"/>
        <v>-0.5</v>
      </c>
      <c r="V43" s="2">
        <v>15.3</v>
      </c>
      <c r="W43" s="2">
        <v>15.5</v>
      </c>
      <c r="X43" s="2">
        <f t="shared" si="7"/>
        <v>-0.19999999999999929</v>
      </c>
      <c r="Y43" s="2">
        <v>3096</v>
      </c>
      <c r="Z43" s="2">
        <v>75</v>
      </c>
      <c r="AA43" s="2">
        <v>82</v>
      </c>
      <c r="AB43" s="2">
        <v>349</v>
      </c>
      <c r="AC43" s="2">
        <v>973</v>
      </c>
      <c r="AD43" s="2">
        <v>3.39</v>
      </c>
      <c r="AE43" s="2">
        <f t="shared" si="8"/>
        <v>2</v>
      </c>
      <c r="AF43" s="2">
        <v>50</v>
      </c>
      <c r="AG43" s="2">
        <v>4.1000000000000002E-2</v>
      </c>
    </row>
    <row r="44" spans="1:33" x14ac:dyDescent="0.3">
      <c r="A44" s="2">
        <v>43</v>
      </c>
      <c r="B44" s="2" t="s">
        <v>81</v>
      </c>
      <c r="C44" s="2">
        <v>19</v>
      </c>
      <c r="D44" s="2" t="str">
        <f>LOOKUP(C44,{0,0;16,"16-19";20,"20-24";25,"25-29";30,"30-34";35,"35-39";40,"40-44";45,"45-49";50,"50-54";55,"55-59";60,"60-64"})</f>
        <v>16-19</v>
      </c>
      <c r="E44" s="2">
        <v>96</v>
      </c>
      <c r="F44" s="2">
        <v>180</v>
      </c>
      <c r="G44" s="2">
        <v>16.8</v>
      </c>
      <c r="H44" s="2">
        <v>16.5</v>
      </c>
      <c r="I44" s="2">
        <f t="shared" si="0"/>
        <v>0.30000000000000071</v>
      </c>
      <c r="J44" s="10">
        <f t="shared" si="1"/>
        <v>1.7857142857142898</v>
      </c>
      <c r="K44" s="2">
        <v>47.8</v>
      </c>
      <c r="L44" s="2">
        <v>46.8</v>
      </c>
      <c r="M44" s="2">
        <f t="shared" si="2"/>
        <v>1</v>
      </c>
      <c r="N44" s="10">
        <f t="shared" si="3"/>
        <v>2.0920502092050213</v>
      </c>
      <c r="O44" s="2">
        <v>453</v>
      </c>
      <c r="P44" s="2">
        <v>370</v>
      </c>
      <c r="Q44" s="2">
        <f t="shared" si="4"/>
        <v>83</v>
      </c>
      <c r="R44" s="2">
        <f t="shared" si="5"/>
        <v>18.322295805739515</v>
      </c>
      <c r="S44" s="2">
        <v>8.8000000000000007</v>
      </c>
      <c r="T44" s="2">
        <v>9.1</v>
      </c>
      <c r="U44" s="2">
        <f t="shared" si="6"/>
        <v>-0.29999999999999893</v>
      </c>
      <c r="V44" s="2">
        <v>10.6</v>
      </c>
      <c r="W44" s="2">
        <v>10.6</v>
      </c>
      <c r="X44" s="2">
        <f t="shared" si="7"/>
        <v>0</v>
      </c>
      <c r="Y44" s="2">
        <v>2037</v>
      </c>
      <c r="Z44" s="2">
        <v>75</v>
      </c>
      <c r="AA44" s="2">
        <v>52</v>
      </c>
      <c r="AB44" s="2">
        <v>327</v>
      </c>
      <c r="AC44" s="2">
        <v>1312</v>
      </c>
      <c r="AD44" s="2">
        <v>4.29</v>
      </c>
      <c r="AE44" s="2">
        <f t="shared" si="8"/>
        <v>3</v>
      </c>
      <c r="AF44" s="2">
        <v>51</v>
      </c>
      <c r="AG44" s="2">
        <v>8.2000000000000003E-2</v>
      </c>
    </row>
    <row r="45" spans="1:33" x14ac:dyDescent="0.3">
      <c r="A45" s="2">
        <v>44</v>
      </c>
      <c r="B45" s="2" t="s">
        <v>81</v>
      </c>
      <c r="C45" s="2">
        <v>22</v>
      </c>
      <c r="D45" s="2" t="str">
        <f>LOOKUP(C45,{0,0;16,"16-19";20,"20-24";25,"25-29";30,"30-34";35,"35-39";40,"40-44";45,"45-49";50,"50-54";55,"55-59";60,"60-64"})</f>
        <v>20-24</v>
      </c>
      <c r="E45" s="2">
        <v>60</v>
      </c>
      <c r="F45" s="2">
        <v>172</v>
      </c>
      <c r="G45" s="2">
        <v>14.4</v>
      </c>
      <c r="H45" s="2">
        <v>13.9</v>
      </c>
      <c r="I45" s="2">
        <f t="shared" si="0"/>
        <v>0.5</v>
      </c>
      <c r="J45" s="10">
        <f t="shared" si="1"/>
        <v>3.4722222222222223</v>
      </c>
      <c r="K45" s="2">
        <v>42.6</v>
      </c>
      <c r="L45" s="2">
        <v>40.9</v>
      </c>
      <c r="M45" s="2">
        <f t="shared" si="2"/>
        <v>1.7000000000000028</v>
      </c>
      <c r="N45" s="10">
        <f t="shared" si="3"/>
        <v>3.9906103286385037</v>
      </c>
      <c r="O45" s="2">
        <v>268</v>
      </c>
      <c r="P45" s="2">
        <v>174</v>
      </c>
      <c r="Q45" s="2">
        <f t="shared" si="4"/>
        <v>94</v>
      </c>
      <c r="R45" s="2">
        <f t="shared" si="5"/>
        <v>35.074626865671647</v>
      </c>
      <c r="S45" s="2">
        <v>10.5</v>
      </c>
      <c r="T45" s="2">
        <v>11</v>
      </c>
      <c r="U45" s="2">
        <f t="shared" si="6"/>
        <v>-0.5</v>
      </c>
      <c r="V45" s="2">
        <v>13.9</v>
      </c>
      <c r="W45" s="2">
        <v>14.2</v>
      </c>
      <c r="X45" s="2">
        <f t="shared" si="7"/>
        <v>-0.29999999999999893</v>
      </c>
      <c r="Y45" s="2">
        <v>3075</v>
      </c>
      <c r="Z45" s="2">
        <v>75</v>
      </c>
      <c r="AA45" s="2">
        <v>82</v>
      </c>
      <c r="AB45" s="2">
        <v>325</v>
      </c>
      <c r="AC45" s="2">
        <v>1207</v>
      </c>
      <c r="AD45" s="2">
        <v>3.92</v>
      </c>
      <c r="AE45" s="2">
        <f t="shared" si="8"/>
        <v>3</v>
      </c>
      <c r="AF45" s="2">
        <v>58</v>
      </c>
      <c r="AG45" s="2">
        <v>4.7E-2</v>
      </c>
    </row>
    <row r="46" spans="1:33" x14ac:dyDescent="0.3">
      <c r="A46" s="2">
        <v>45</v>
      </c>
      <c r="B46" s="2" t="s">
        <v>81</v>
      </c>
      <c r="C46" s="2">
        <v>29</v>
      </c>
      <c r="D46" s="2" t="str">
        <f>LOOKUP(C46,{0,0;16,"16-19";20,"20-24";25,"25-29";30,"30-34";35,"35-39";40,"40-44";45,"45-49";50,"50-54";55,"55-59";60,"60-64"})</f>
        <v>25-29</v>
      </c>
      <c r="E46" s="2">
        <v>75</v>
      </c>
      <c r="F46" s="2">
        <v>176</v>
      </c>
      <c r="G46" s="2">
        <v>15.2</v>
      </c>
      <c r="H46" s="2">
        <v>14.8</v>
      </c>
      <c r="I46" s="2">
        <f t="shared" si="0"/>
        <v>0.39999999999999858</v>
      </c>
      <c r="J46" s="10">
        <f t="shared" si="1"/>
        <v>2.6315789473684119</v>
      </c>
      <c r="K46" s="2">
        <v>43.5</v>
      </c>
      <c r="L46" s="2">
        <v>42</v>
      </c>
      <c r="M46" s="2">
        <f t="shared" si="2"/>
        <v>1.5</v>
      </c>
      <c r="N46" s="10">
        <f t="shared" si="3"/>
        <v>3.4482758620689653</v>
      </c>
      <c r="O46" s="2">
        <v>310</v>
      </c>
      <c r="P46" s="2">
        <v>215</v>
      </c>
      <c r="Q46" s="2">
        <f t="shared" si="4"/>
        <v>95</v>
      </c>
      <c r="R46" s="2">
        <f t="shared" si="5"/>
        <v>30.64516129032258</v>
      </c>
      <c r="S46" s="2">
        <v>10.1</v>
      </c>
      <c r="T46" s="2">
        <v>10.4</v>
      </c>
      <c r="U46" s="2">
        <f t="shared" si="6"/>
        <v>-0.30000000000000071</v>
      </c>
      <c r="V46" s="2">
        <v>11.9</v>
      </c>
      <c r="W46" s="2">
        <v>12.8</v>
      </c>
      <c r="X46" s="2">
        <f t="shared" si="7"/>
        <v>-0.90000000000000036</v>
      </c>
      <c r="Y46" s="2">
        <v>3050</v>
      </c>
      <c r="Z46" s="2">
        <v>76</v>
      </c>
      <c r="AA46" s="2">
        <v>72</v>
      </c>
      <c r="AB46" s="2">
        <v>331</v>
      </c>
      <c r="AC46" s="2">
        <v>1095</v>
      </c>
      <c r="AD46" s="2">
        <v>3.62</v>
      </c>
      <c r="AE46" s="2">
        <f t="shared" si="8"/>
        <v>3</v>
      </c>
      <c r="AF46" s="2">
        <v>45</v>
      </c>
      <c r="AG46" s="2">
        <v>0.05</v>
      </c>
    </row>
    <row r="47" spans="1:33" x14ac:dyDescent="0.3">
      <c r="A47" s="2">
        <v>46</v>
      </c>
      <c r="B47" s="2" t="s">
        <v>81</v>
      </c>
      <c r="C47" s="2">
        <v>34</v>
      </c>
      <c r="D47" s="2" t="str">
        <f>LOOKUP(C47,{0,0;16,"16-19";20,"20-24";25,"25-29";30,"30-34";35,"35-39";40,"40-44";45,"45-49";50,"50-54";55,"55-59";60,"60-64"})</f>
        <v>30-34</v>
      </c>
      <c r="E47" s="2">
        <v>80</v>
      </c>
      <c r="F47" s="2">
        <v>180</v>
      </c>
      <c r="G47" s="2">
        <v>14.7</v>
      </c>
      <c r="H47" s="2">
        <v>14.4</v>
      </c>
      <c r="I47" s="2">
        <f t="shared" si="0"/>
        <v>0.29999999999999893</v>
      </c>
      <c r="J47" s="10">
        <f t="shared" si="1"/>
        <v>2.0408163265306052</v>
      </c>
      <c r="K47" s="2">
        <v>44.1</v>
      </c>
      <c r="L47" s="2">
        <v>42.9</v>
      </c>
      <c r="M47" s="2">
        <f t="shared" si="2"/>
        <v>1.2000000000000028</v>
      </c>
      <c r="N47" s="10">
        <f t="shared" si="3"/>
        <v>2.7210884353741562</v>
      </c>
      <c r="O47" s="2">
        <v>275</v>
      </c>
      <c r="P47" s="2">
        <v>190</v>
      </c>
      <c r="Q47" s="2">
        <f t="shared" si="4"/>
        <v>85</v>
      </c>
      <c r="R47" s="2">
        <f t="shared" si="5"/>
        <v>30.909090909090907</v>
      </c>
      <c r="S47" s="2">
        <v>9.8000000000000007</v>
      </c>
      <c r="T47" s="2">
        <v>10</v>
      </c>
      <c r="U47" s="2">
        <f t="shared" si="6"/>
        <v>-0.19999999999999929</v>
      </c>
      <c r="V47" s="2">
        <v>10.7</v>
      </c>
      <c r="W47" s="2">
        <v>11.2</v>
      </c>
      <c r="X47" s="2">
        <f t="shared" si="7"/>
        <v>-0.5</v>
      </c>
      <c r="Y47" s="2">
        <v>2820</v>
      </c>
      <c r="Z47" s="2">
        <v>74</v>
      </c>
      <c r="AA47" s="2">
        <v>70</v>
      </c>
      <c r="AB47" s="2">
        <v>320</v>
      </c>
      <c r="AC47" s="2">
        <v>1028</v>
      </c>
      <c r="AD47" s="2">
        <v>3.28</v>
      </c>
      <c r="AE47" s="2">
        <f t="shared" si="8"/>
        <v>2</v>
      </c>
      <c r="AF47" s="2">
        <v>50</v>
      </c>
      <c r="AG47" s="2">
        <v>4.5999999999999999E-2</v>
      </c>
    </row>
    <row r="48" spans="1:33" x14ac:dyDescent="0.3">
      <c r="A48" s="2">
        <v>47</v>
      </c>
      <c r="B48" s="2" t="s">
        <v>81</v>
      </c>
      <c r="C48" s="2">
        <v>22</v>
      </c>
      <c r="D48" s="2" t="str">
        <f>LOOKUP(C48,{0,0;16,"16-19";20,"20-24";25,"25-29";30,"30-34";35,"35-39";40,"40-44";45,"45-49";50,"50-54";55,"55-59";60,"60-64"})</f>
        <v>20-24</v>
      </c>
      <c r="E48" s="2">
        <v>70</v>
      </c>
      <c r="F48" s="2">
        <v>168</v>
      </c>
      <c r="G48" s="2">
        <v>14.5</v>
      </c>
      <c r="H48" s="2">
        <v>14.1</v>
      </c>
      <c r="I48" s="2">
        <f t="shared" si="0"/>
        <v>0.40000000000000036</v>
      </c>
      <c r="J48" s="10">
        <f t="shared" si="1"/>
        <v>2.7586206896551748</v>
      </c>
      <c r="K48" s="2">
        <v>41.8</v>
      </c>
      <c r="L48" s="2">
        <v>40.4</v>
      </c>
      <c r="M48" s="2">
        <f t="shared" si="2"/>
        <v>1.3999999999999986</v>
      </c>
      <c r="N48" s="10">
        <f t="shared" si="3"/>
        <v>3.3492822966507143</v>
      </c>
      <c r="O48" s="2">
        <v>355</v>
      </c>
      <c r="P48" s="2">
        <v>265</v>
      </c>
      <c r="Q48" s="2">
        <f t="shared" si="4"/>
        <v>90</v>
      </c>
      <c r="R48" s="2">
        <f t="shared" si="5"/>
        <v>25.352112676056336</v>
      </c>
      <c r="S48" s="2">
        <v>10.5</v>
      </c>
      <c r="T48" s="2">
        <v>10.8</v>
      </c>
      <c r="U48" s="2">
        <f t="shared" si="6"/>
        <v>-0.30000000000000071</v>
      </c>
      <c r="V48" s="2">
        <v>12.4</v>
      </c>
      <c r="W48" s="2">
        <v>12.9</v>
      </c>
      <c r="X48" s="2">
        <f t="shared" si="7"/>
        <v>-0.5</v>
      </c>
      <c r="Y48" s="2">
        <v>3225</v>
      </c>
      <c r="Z48" s="2">
        <v>77</v>
      </c>
      <c r="AA48" s="2">
        <v>75</v>
      </c>
      <c r="AB48" s="2">
        <v>340</v>
      </c>
      <c r="AC48" s="2">
        <v>1172</v>
      </c>
      <c r="AD48" s="2">
        <v>3.98</v>
      </c>
      <c r="AE48" s="2">
        <f t="shared" si="8"/>
        <v>3</v>
      </c>
      <c r="AF48" s="2">
        <v>40</v>
      </c>
      <c r="AG48" s="2">
        <v>5.2999999999999999E-2</v>
      </c>
    </row>
    <row r="49" spans="1:33" x14ac:dyDescent="0.3">
      <c r="A49" s="2">
        <v>48</v>
      </c>
      <c r="B49" s="2" t="s">
        <v>81</v>
      </c>
      <c r="C49" s="2">
        <v>31</v>
      </c>
      <c r="D49" s="2" t="str">
        <f>LOOKUP(C49,{0,0;16,"16-19";20,"20-24";25,"25-29";30,"30-34";35,"35-39";40,"40-44";45,"45-49";50,"50-54";55,"55-59";60,"60-64"})</f>
        <v>30-34</v>
      </c>
      <c r="E49" s="2">
        <v>72</v>
      </c>
      <c r="F49" s="2">
        <v>174</v>
      </c>
      <c r="G49" s="2">
        <v>15</v>
      </c>
      <c r="H49" s="2">
        <v>14.6</v>
      </c>
      <c r="I49" s="2">
        <f t="shared" si="0"/>
        <v>0.40000000000000036</v>
      </c>
      <c r="J49" s="10">
        <f t="shared" si="1"/>
        <v>2.6666666666666687</v>
      </c>
      <c r="K49" s="2">
        <v>43.2</v>
      </c>
      <c r="L49" s="2">
        <v>41.7</v>
      </c>
      <c r="M49" s="2">
        <f t="shared" si="2"/>
        <v>1.5</v>
      </c>
      <c r="N49" s="10">
        <f t="shared" si="3"/>
        <v>3.4722222222222219</v>
      </c>
      <c r="O49" s="2">
        <v>296</v>
      </c>
      <c r="P49" s="2">
        <v>208</v>
      </c>
      <c r="Q49" s="2">
        <f t="shared" si="4"/>
        <v>88</v>
      </c>
      <c r="R49" s="2">
        <f t="shared" si="5"/>
        <v>29.72972972972973</v>
      </c>
      <c r="S49" s="2">
        <v>9.6</v>
      </c>
      <c r="T49" s="2">
        <v>10</v>
      </c>
      <c r="U49" s="2">
        <f t="shared" si="6"/>
        <v>-0.40000000000000036</v>
      </c>
      <c r="V49" s="2">
        <v>11.5</v>
      </c>
      <c r="W49" s="2">
        <v>12.4</v>
      </c>
      <c r="X49" s="2">
        <f t="shared" si="7"/>
        <v>-0.90000000000000036</v>
      </c>
      <c r="Y49" s="2">
        <v>2895</v>
      </c>
      <c r="Z49" s="2">
        <v>75</v>
      </c>
      <c r="AA49" s="2">
        <v>71</v>
      </c>
      <c r="AB49" s="2">
        <v>336</v>
      </c>
      <c r="AC49" s="2">
        <v>1136</v>
      </c>
      <c r="AD49" s="2">
        <v>3.81</v>
      </c>
      <c r="AE49" s="2">
        <f t="shared" si="8"/>
        <v>3</v>
      </c>
      <c r="AF49" s="2">
        <v>52</v>
      </c>
      <c r="AG49" s="2">
        <v>5.2999999999999999E-2</v>
      </c>
    </row>
    <row r="50" spans="1:33" x14ac:dyDescent="0.3">
      <c r="A50" s="2">
        <v>49</v>
      </c>
      <c r="B50" s="2" t="s">
        <v>81</v>
      </c>
      <c r="C50" s="2">
        <v>27</v>
      </c>
      <c r="D50" s="2" t="str">
        <f>LOOKUP(C50,{0,0;16,"16-19";20,"20-24";25,"25-29";30,"30-34";35,"35-39";40,"40-44";45,"45-49";50,"50-54";55,"55-59";60,"60-64"})</f>
        <v>25-29</v>
      </c>
      <c r="E50" s="2">
        <v>78</v>
      </c>
      <c r="F50" s="2">
        <v>179</v>
      </c>
      <c r="G50" s="2">
        <v>14.8</v>
      </c>
      <c r="H50" s="2">
        <v>14.5</v>
      </c>
      <c r="I50" s="2">
        <f t="shared" si="0"/>
        <v>0.30000000000000071</v>
      </c>
      <c r="J50" s="10">
        <f t="shared" si="1"/>
        <v>2.0270270270270316</v>
      </c>
      <c r="K50" s="2">
        <v>42.6</v>
      </c>
      <c r="L50" s="2">
        <v>41.8</v>
      </c>
      <c r="M50" s="2">
        <f t="shared" si="2"/>
        <v>0.80000000000000426</v>
      </c>
      <c r="N50" s="10">
        <f t="shared" si="3"/>
        <v>1.8779342723004795</v>
      </c>
      <c r="O50" s="2">
        <v>330</v>
      </c>
      <c r="P50" s="2">
        <v>225</v>
      </c>
      <c r="Q50" s="2">
        <f t="shared" si="4"/>
        <v>105</v>
      </c>
      <c r="R50" s="2">
        <f t="shared" si="5"/>
        <v>31.818181818181817</v>
      </c>
      <c r="S50" s="2">
        <v>10.3</v>
      </c>
      <c r="T50" s="2">
        <v>10.5</v>
      </c>
      <c r="U50" s="2">
        <f t="shared" si="6"/>
        <v>-0.19999999999999929</v>
      </c>
      <c r="V50" s="2">
        <v>12.1</v>
      </c>
      <c r="W50" s="2">
        <v>12.6</v>
      </c>
      <c r="X50" s="2">
        <f t="shared" si="7"/>
        <v>-0.5</v>
      </c>
      <c r="Y50" s="2">
        <v>3005</v>
      </c>
      <c r="Z50" s="2">
        <v>78</v>
      </c>
      <c r="AA50" s="2">
        <v>73</v>
      </c>
      <c r="AB50" s="2">
        <v>333</v>
      </c>
      <c r="AC50" s="2">
        <v>1118</v>
      </c>
      <c r="AD50" s="2">
        <v>3.72</v>
      </c>
      <c r="AE50" s="2">
        <f t="shared" si="8"/>
        <v>3</v>
      </c>
      <c r="AF50" s="2">
        <v>45</v>
      </c>
      <c r="AG50" s="2">
        <v>0.05</v>
      </c>
    </row>
    <row r="51" spans="1:33" x14ac:dyDescent="0.3">
      <c r="A51" s="2">
        <v>50</v>
      </c>
      <c r="B51" s="2" t="s">
        <v>81</v>
      </c>
      <c r="C51" s="2">
        <v>32</v>
      </c>
      <c r="D51" s="2" t="str">
        <f>LOOKUP(C51,{0,0;16,"16-19";20,"20-24";25,"25-29";30,"30-34";35,"35-39";40,"40-44";45,"45-49";50,"50-54";55,"55-59";60,"60-64"})</f>
        <v>30-34</v>
      </c>
      <c r="E51" s="2">
        <v>82</v>
      </c>
      <c r="F51" s="2">
        <v>178</v>
      </c>
      <c r="G51" s="2">
        <v>15.6</v>
      </c>
      <c r="H51" s="2">
        <v>15.1</v>
      </c>
      <c r="I51" s="2">
        <f t="shared" si="0"/>
        <v>0.5</v>
      </c>
      <c r="J51" s="10">
        <f t="shared" si="1"/>
        <v>3.2051282051282057</v>
      </c>
      <c r="K51" s="2">
        <v>45.2</v>
      </c>
      <c r="L51" s="2">
        <v>43.6</v>
      </c>
      <c r="M51" s="2">
        <f t="shared" si="2"/>
        <v>1.6000000000000014</v>
      </c>
      <c r="N51" s="10">
        <f t="shared" si="3"/>
        <v>3.5398230088495604</v>
      </c>
      <c r="O51" s="2">
        <v>288</v>
      </c>
      <c r="P51" s="2">
        <v>200</v>
      </c>
      <c r="Q51" s="2">
        <f t="shared" si="4"/>
        <v>88</v>
      </c>
      <c r="R51" s="2">
        <f t="shared" si="5"/>
        <v>30.555555555555557</v>
      </c>
      <c r="S51" s="2">
        <v>10.199999999999999</v>
      </c>
      <c r="T51" s="2">
        <v>10.6</v>
      </c>
      <c r="U51" s="2">
        <f t="shared" si="6"/>
        <v>-0.40000000000000036</v>
      </c>
      <c r="V51" s="2">
        <v>11.5</v>
      </c>
      <c r="W51" s="2">
        <v>12.7</v>
      </c>
      <c r="X51" s="2">
        <f t="shared" si="7"/>
        <v>-1.1999999999999993</v>
      </c>
      <c r="Y51" s="2">
        <v>3120</v>
      </c>
      <c r="Z51" s="2">
        <v>75</v>
      </c>
      <c r="AA51" s="2">
        <v>74</v>
      </c>
      <c r="AB51" s="2">
        <v>335</v>
      </c>
      <c r="AC51" s="2">
        <v>1145</v>
      </c>
      <c r="AD51" s="2">
        <v>3.83</v>
      </c>
      <c r="AE51" s="2">
        <f t="shared" si="8"/>
        <v>3</v>
      </c>
      <c r="AF51" s="2">
        <v>50</v>
      </c>
      <c r="AG51" s="2">
        <v>5.0999999999999997E-2</v>
      </c>
    </row>
    <row r="52" spans="1:33" x14ac:dyDescent="0.3">
      <c r="A52" s="2">
        <v>51</v>
      </c>
      <c r="B52" s="2" t="s">
        <v>81</v>
      </c>
      <c r="C52" s="2">
        <v>25</v>
      </c>
      <c r="D52" s="2" t="str">
        <f>LOOKUP(C52,{0,0;16,"16-19";20,"20-24";25,"25-29";30,"30-34";35,"35-39";40,"40-44";45,"45-49";50,"50-54";55,"55-59";60,"60-64"})</f>
        <v>25-29</v>
      </c>
      <c r="E52" s="2">
        <v>71</v>
      </c>
      <c r="F52" s="2">
        <v>169</v>
      </c>
      <c r="G52" s="2">
        <v>14.4</v>
      </c>
      <c r="H52" s="2">
        <v>14.1</v>
      </c>
      <c r="I52" s="2">
        <f t="shared" si="0"/>
        <v>0.30000000000000071</v>
      </c>
      <c r="J52" s="10">
        <f t="shared" si="1"/>
        <v>2.0833333333333379</v>
      </c>
      <c r="K52" s="2">
        <v>41.9</v>
      </c>
      <c r="L52" s="2">
        <v>40.5</v>
      </c>
      <c r="M52" s="2">
        <f t="shared" si="2"/>
        <v>1.3999999999999986</v>
      </c>
      <c r="N52" s="10">
        <f t="shared" si="3"/>
        <v>3.3412887828162257</v>
      </c>
      <c r="O52" s="2">
        <v>342</v>
      </c>
      <c r="P52" s="2">
        <v>240</v>
      </c>
      <c r="Q52" s="2">
        <f t="shared" si="4"/>
        <v>102</v>
      </c>
      <c r="R52" s="2">
        <f t="shared" si="5"/>
        <v>29.82456140350877</v>
      </c>
      <c r="S52" s="2">
        <v>9.9</v>
      </c>
      <c r="T52" s="2">
        <v>10.199999999999999</v>
      </c>
      <c r="U52" s="2">
        <f t="shared" si="6"/>
        <v>-0.29999999999999893</v>
      </c>
      <c r="V52" s="2">
        <v>12</v>
      </c>
      <c r="W52" s="2">
        <v>12.8</v>
      </c>
      <c r="X52" s="2">
        <f t="shared" si="7"/>
        <v>-0.80000000000000071</v>
      </c>
      <c r="Y52" s="2">
        <v>2980</v>
      </c>
      <c r="Z52" s="2">
        <v>76</v>
      </c>
      <c r="AA52" s="2">
        <v>71</v>
      </c>
      <c r="AB52" s="2">
        <v>328</v>
      </c>
      <c r="AC52" s="2">
        <v>1092</v>
      </c>
      <c r="AD52" s="2">
        <v>3.58</v>
      </c>
      <c r="AE52" s="2">
        <f t="shared" si="8"/>
        <v>3</v>
      </c>
      <c r="AF52" s="2">
        <v>41</v>
      </c>
      <c r="AG52" s="2">
        <v>0.05</v>
      </c>
    </row>
    <row r="53" spans="1:33" x14ac:dyDescent="0.3">
      <c r="A53" s="2">
        <v>52</v>
      </c>
      <c r="B53" s="2" t="s">
        <v>81</v>
      </c>
      <c r="C53" s="2">
        <v>36</v>
      </c>
      <c r="D53" s="2" t="str">
        <f>LOOKUP(C53,{0,0;16,"16-19";20,"20-24";25,"25-29";30,"30-34";35,"35-39";40,"40-44";45,"45-49";50,"50-54";55,"55-59";60,"60-64"})</f>
        <v>35-39</v>
      </c>
      <c r="E53" s="2">
        <v>76</v>
      </c>
      <c r="F53" s="2">
        <v>182</v>
      </c>
      <c r="G53" s="2">
        <v>15</v>
      </c>
      <c r="H53" s="2">
        <v>14.6</v>
      </c>
      <c r="I53" s="2">
        <f t="shared" si="0"/>
        <v>0.40000000000000036</v>
      </c>
      <c r="J53" s="10">
        <f t="shared" si="1"/>
        <v>2.6666666666666687</v>
      </c>
      <c r="K53" s="2">
        <v>43.6</v>
      </c>
      <c r="L53" s="2">
        <v>42.2</v>
      </c>
      <c r="M53" s="2">
        <f t="shared" si="2"/>
        <v>1.3999999999999986</v>
      </c>
      <c r="N53" s="10">
        <f t="shared" si="3"/>
        <v>3.2110091743119233</v>
      </c>
      <c r="O53" s="2">
        <v>277</v>
      </c>
      <c r="P53" s="2">
        <v>190</v>
      </c>
      <c r="Q53" s="2">
        <f t="shared" si="4"/>
        <v>87</v>
      </c>
      <c r="R53" s="2">
        <f t="shared" si="5"/>
        <v>31.40794223826715</v>
      </c>
      <c r="S53" s="2">
        <v>10.4</v>
      </c>
      <c r="T53" s="2">
        <v>10.7</v>
      </c>
      <c r="U53" s="2">
        <f t="shared" si="6"/>
        <v>-0.29999999999999893</v>
      </c>
      <c r="V53" s="2">
        <v>10.9</v>
      </c>
      <c r="W53" s="2">
        <v>11.5</v>
      </c>
      <c r="X53" s="2">
        <f t="shared" si="7"/>
        <v>-0.59999999999999964</v>
      </c>
      <c r="Y53" s="2">
        <v>3255</v>
      </c>
      <c r="Z53" s="2">
        <v>74</v>
      </c>
      <c r="AA53" s="2">
        <v>76</v>
      </c>
      <c r="AB53" s="2">
        <v>338</v>
      </c>
      <c r="AC53" s="2">
        <v>1160</v>
      </c>
      <c r="AD53" s="2">
        <v>3.92</v>
      </c>
      <c r="AE53" s="2">
        <f t="shared" si="8"/>
        <v>3</v>
      </c>
      <c r="AF53" s="2">
        <v>52</v>
      </c>
      <c r="AG53" s="2">
        <v>5.0999999999999997E-2</v>
      </c>
    </row>
    <row r="54" spans="1:33" x14ac:dyDescent="0.3">
      <c r="A54" s="2">
        <v>53</v>
      </c>
      <c r="B54" s="2" t="s">
        <v>81</v>
      </c>
      <c r="C54" s="2">
        <v>28</v>
      </c>
      <c r="D54" s="2" t="str">
        <f>LOOKUP(C54,{0,0;16,"16-19";20,"20-24";25,"25-29";30,"30-34";35,"35-39";40,"40-44";45,"45-49";50,"50-54";55,"55-59";60,"60-64"})</f>
        <v>25-29</v>
      </c>
      <c r="E54" s="2">
        <v>69</v>
      </c>
      <c r="F54" s="2">
        <v>170</v>
      </c>
      <c r="G54" s="2">
        <v>14.2</v>
      </c>
      <c r="H54" s="2">
        <v>13.9</v>
      </c>
      <c r="I54" s="2">
        <f t="shared" si="0"/>
        <v>0.29999999999999893</v>
      </c>
      <c r="J54" s="10">
        <f t="shared" si="1"/>
        <v>2.1126760563380209</v>
      </c>
      <c r="K54" s="2">
        <v>40.799999999999997</v>
      </c>
      <c r="L54" s="2">
        <v>39.6</v>
      </c>
      <c r="M54" s="2">
        <f t="shared" si="2"/>
        <v>1.1999999999999957</v>
      </c>
      <c r="N54" s="10">
        <f t="shared" si="3"/>
        <v>2.9411764705882253</v>
      </c>
      <c r="O54" s="2">
        <v>305</v>
      </c>
      <c r="P54" s="2">
        <v>215</v>
      </c>
      <c r="Q54" s="2">
        <f t="shared" si="4"/>
        <v>90</v>
      </c>
      <c r="R54" s="2">
        <f t="shared" si="5"/>
        <v>29.508196721311474</v>
      </c>
      <c r="S54" s="2">
        <v>9.6999999999999993</v>
      </c>
      <c r="T54" s="2">
        <v>10.1</v>
      </c>
      <c r="U54" s="2">
        <f t="shared" si="6"/>
        <v>-0.40000000000000036</v>
      </c>
      <c r="V54" s="2">
        <v>11.2</v>
      </c>
      <c r="W54" s="2">
        <v>12</v>
      </c>
      <c r="X54" s="2">
        <f t="shared" si="7"/>
        <v>-0.80000000000000071</v>
      </c>
      <c r="Y54" s="2">
        <v>2890</v>
      </c>
      <c r="Z54" s="2">
        <v>78</v>
      </c>
      <c r="AA54" s="2">
        <v>70</v>
      </c>
      <c r="AB54" s="2">
        <v>330</v>
      </c>
      <c r="AC54" s="2">
        <v>1103</v>
      </c>
      <c r="AD54" s="2">
        <v>3.63</v>
      </c>
      <c r="AE54" s="2">
        <f t="shared" si="8"/>
        <v>3</v>
      </c>
      <c r="AF54" s="2">
        <v>48</v>
      </c>
      <c r="AG54" s="2">
        <v>5.0999999999999997E-2</v>
      </c>
    </row>
    <row r="55" spans="1:33" x14ac:dyDescent="0.3">
      <c r="A55" s="2">
        <v>54</v>
      </c>
      <c r="B55" s="2" t="s">
        <v>81</v>
      </c>
      <c r="C55" s="2">
        <v>24</v>
      </c>
      <c r="D55" s="2" t="str">
        <f>LOOKUP(C55,{0,0;16,"16-19";20,"20-24";25,"25-29";30,"30-34";35,"35-39";40,"40-44";45,"45-49";50,"50-54";55,"55-59";60,"60-64"})</f>
        <v>20-24</v>
      </c>
      <c r="E55" s="2">
        <v>74</v>
      </c>
      <c r="F55" s="2">
        <v>174</v>
      </c>
      <c r="G55" s="2">
        <v>14.9</v>
      </c>
      <c r="H55" s="2">
        <v>14.4</v>
      </c>
      <c r="I55" s="2">
        <f t="shared" si="0"/>
        <v>0.5</v>
      </c>
      <c r="J55" s="10">
        <f t="shared" si="1"/>
        <v>3.3557046979865772</v>
      </c>
      <c r="K55" s="2">
        <v>42.7</v>
      </c>
      <c r="L55" s="2">
        <v>41.5</v>
      </c>
      <c r="M55" s="2">
        <f t="shared" si="2"/>
        <v>1.2000000000000028</v>
      </c>
      <c r="N55" s="10">
        <f t="shared" si="3"/>
        <v>2.8103044496487186</v>
      </c>
      <c r="O55" s="2">
        <v>315</v>
      </c>
      <c r="P55" s="2">
        <v>218</v>
      </c>
      <c r="Q55" s="2">
        <f t="shared" si="4"/>
        <v>97</v>
      </c>
      <c r="R55" s="2">
        <f t="shared" si="5"/>
        <v>30.793650793650794</v>
      </c>
      <c r="S55" s="2">
        <v>9.5</v>
      </c>
      <c r="T55" s="2">
        <v>9.8000000000000007</v>
      </c>
      <c r="U55" s="2">
        <f t="shared" si="6"/>
        <v>-0.30000000000000071</v>
      </c>
      <c r="V55" s="2">
        <v>10.7</v>
      </c>
      <c r="W55" s="2">
        <v>11.4</v>
      </c>
      <c r="X55" s="2">
        <f t="shared" si="7"/>
        <v>-0.70000000000000107</v>
      </c>
      <c r="Y55" s="2">
        <v>3000</v>
      </c>
      <c r="Z55" s="2">
        <v>77</v>
      </c>
      <c r="AA55" s="2">
        <v>72</v>
      </c>
      <c r="AB55" s="2">
        <v>332</v>
      </c>
      <c r="AC55" s="2">
        <v>1116</v>
      </c>
      <c r="AD55" s="2">
        <v>3.7</v>
      </c>
      <c r="AE55" s="2">
        <f t="shared" si="8"/>
        <v>3</v>
      </c>
      <c r="AF55" s="2">
        <v>46</v>
      </c>
      <c r="AG55" s="2">
        <v>5.0999999999999997E-2</v>
      </c>
    </row>
    <row r="56" spans="1:33" x14ac:dyDescent="0.3">
      <c r="A56" s="2">
        <v>55</v>
      </c>
      <c r="B56" s="2" t="s">
        <v>81</v>
      </c>
      <c r="C56" s="2">
        <v>33</v>
      </c>
      <c r="D56" s="2" t="str">
        <f>LOOKUP(C56,{0,0;16,"16-19";20,"20-24";25,"25-29";30,"30-34";35,"35-39";40,"40-44";45,"45-49";50,"50-54";55,"55-59";60,"60-64"})</f>
        <v>30-34</v>
      </c>
      <c r="E56" s="2">
        <v>80</v>
      </c>
      <c r="F56" s="2">
        <v>180</v>
      </c>
      <c r="G56" s="2">
        <v>15.5</v>
      </c>
      <c r="H56" s="2">
        <v>15</v>
      </c>
      <c r="I56" s="2">
        <f t="shared" si="0"/>
        <v>0.5</v>
      </c>
      <c r="J56" s="10">
        <f t="shared" si="1"/>
        <v>3.225806451612903</v>
      </c>
      <c r="K56" s="2">
        <v>44.9</v>
      </c>
      <c r="L56" s="2">
        <v>43.3</v>
      </c>
      <c r="M56" s="2">
        <f t="shared" si="2"/>
        <v>1.6000000000000014</v>
      </c>
      <c r="N56" s="10">
        <f t="shared" si="3"/>
        <v>3.563474387527843</v>
      </c>
      <c r="O56" s="2">
        <v>298</v>
      </c>
      <c r="P56" s="2">
        <v>207</v>
      </c>
      <c r="Q56" s="2">
        <f t="shared" si="4"/>
        <v>91</v>
      </c>
      <c r="R56" s="2">
        <f t="shared" si="5"/>
        <v>30.536912751677853</v>
      </c>
      <c r="S56" s="2">
        <v>10</v>
      </c>
      <c r="T56" s="2">
        <v>10.3</v>
      </c>
      <c r="U56" s="2">
        <f t="shared" si="6"/>
        <v>-0.30000000000000071</v>
      </c>
      <c r="V56" s="2">
        <v>11.8</v>
      </c>
      <c r="W56" s="2">
        <v>12.6</v>
      </c>
      <c r="X56" s="2">
        <f t="shared" si="7"/>
        <v>-0.79999999999999893</v>
      </c>
      <c r="Y56" s="2">
        <v>3180</v>
      </c>
      <c r="Z56" s="2">
        <v>75</v>
      </c>
      <c r="AA56" s="2">
        <v>75</v>
      </c>
      <c r="AB56" s="2">
        <v>337</v>
      </c>
      <c r="AC56" s="2">
        <v>1154</v>
      </c>
      <c r="AD56" s="2">
        <v>3.88</v>
      </c>
      <c r="AE56" s="2">
        <f t="shared" si="8"/>
        <v>3</v>
      </c>
      <c r="AF56" s="2">
        <v>48</v>
      </c>
      <c r="AG56" s="2">
        <v>5.0999999999999997E-2</v>
      </c>
    </row>
    <row r="57" spans="1:33" x14ac:dyDescent="0.3">
      <c r="A57" s="2">
        <v>56</v>
      </c>
      <c r="B57" s="2" t="s">
        <v>81</v>
      </c>
      <c r="C57" s="2">
        <v>26</v>
      </c>
      <c r="D57" s="2" t="str">
        <f>LOOKUP(C57,{0,0;16,"16-19";20,"20-24";25,"25-29";30,"30-34";35,"35-39";40,"40-44";45,"45-49";50,"50-54";55,"55-59";60,"60-64"})</f>
        <v>25-29</v>
      </c>
      <c r="E57" s="2">
        <v>77</v>
      </c>
      <c r="F57" s="2">
        <v>174</v>
      </c>
      <c r="G57" s="2">
        <v>14.7</v>
      </c>
      <c r="H57" s="2">
        <v>14.4</v>
      </c>
      <c r="I57" s="2">
        <f t="shared" si="0"/>
        <v>0.29999999999999893</v>
      </c>
      <c r="J57" s="10">
        <f t="shared" si="1"/>
        <v>2.0408163265306052</v>
      </c>
      <c r="K57" s="2">
        <v>43.2</v>
      </c>
      <c r="L57" s="2">
        <v>41.8</v>
      </c>
      <c r="M57" s="2">
        <f t="shared" si="2"/>
        <v>1.4000000000000057</v>
      </c>
      <c r="N57" s="10">
        <f t="shared" si="3"/>
        <v>3.2407407407407538</v>
      </c>
      <c r="O57" s="2">
        <v>360</v>
      </c>
      <c r="P57" s="2">
        <v>265</v>
      </c>
      <c r="Q57" s="2">
        <f t="shared" si="4"/>
        <v>95</v>
      </c>
      <c r="R57" s="2">
        <f t="shared" si="5"/>
        <v>26.388888888888889</v>
      </c>
      <c r="S57" s="2">
        <v>10.5</v>
      </c>
      <c r="T57" s="2">
        <v>10.8</v>
      </c>
      <c r="U57" s="2">
        <f t="shared" si="6"/>
        <v>-0.30000000000000071</v>
      </c>
      <c r="V57" s="2">
        <v>12.5</v>
      </c>
      <c r="W57" s="2">
        <v>13.1</v>
      </c>
      <c r="X57" s="2">
        <f t="shared" si="7"/>
        <v>-0.59999999999999964</v>
      </c>
      <c r="Y57" s="2">
        <v>3325</v>
      </c>
      <c r="Z57" s="2">
        <v>76</v>
      </c>
      <c r="AA57" s="2">
        <v>78</v>
      </c>
      <c r="AB57" s="2">
        <v>343</v>
      </c>
      <c r="AC57" s="2">
        <v>1203</v>
      </c>
      <c r="AD57" s="2">
        <v>4.12</v>
      </c>
      <c r="AE57" s="2">
        <f t="shared" si="8"/>
        <v>3</v>
      </c>
      <c r="AF57" s="2">
        <v>40</v>
      </c>
      <c r="AG57" s="2">
        <v>5.1999999999999998E-2</v>
      </c>
    </row>
    <row r="58" spans="1:33" x14ac:dyDescent="0.3">
      <c r="A58" s="2">
        <v>57</v>
      </c>
      <c r="B58" s="2" t="s">
        <v>81</v>
      </c>
      <c r="C58" s="2">
        <v>38</v>
      </c>
      <c r="D58" s="2" t="str">
        <f>LOOKUP(C58,{0,0;16,"16-19";20,"20-24";25,"25-29";30,"30-34";35,"35-39";40,"40-44";45,"45-49";50,"50-54";55,"55-59";60,"60-64"})</f>
        <v>35-39</v>
      </c>
      <c r="E58" s="2">
        <v>68</v>
      </c>
      <c r="F58" s="2">
        <v>169</v>
      </c>
      <c r="G58" s="2">
        <v>14.3</v>
      </c>
      <c r="H58" s="2">
        <v>14</v>
      </c>
      <c r="I58" s="2">
        <f t="shared" si="0"/>
        <v>0.30000000000000071</v>
      </c>
      <c r="J58" s="10">
        <f t="shared" si="1"/>
        <v>2.0979020979021028</v>
      </c>
      <c r="K58" s="2">
        <v>41.3</v>
      </c>
      <c r="L58" s="2">
        <v>39.9</v>
      </c>
      <c r="M58" s="2">
        <f t="shared" si="2"/>
        <v>1.3999999999999986</v>
      </c>
      <c r="N58" s="10">
        <f t="shared" si="3"/>
        <v>3.3898305084745726</v>
      </c>
      <c r="O58" s="2">
        <v>287</v>
      </c>
      <c r="P58" s="2">
        <v>202</v>
      </c>
      <c r="Q58" s="2">
        <f t="shared" si="4"/>
        <v>85</v>
      </c>
      <c r="R58" s="2">
        <f t="shared" si="5"/>
        <v>29.616724738675959</v>
      </c>
      <c r="S58" s="2">
        <v>9.6</v>
      </c>
      <c r="T58" s="2">
        <v>10</v>
      </c>
      <c r="U58" s="2">
        <f t="shared" si="6"/>
        <v>-0.40000000000000036</v>
      </c>
      <c r="V58" s="2">
        <v>11.1</v>
      </c>
      <c r="W58" s="2">
        <v>12.2</v>
      </c>
      <c r="X58" s="2">
        <f t="shared" si="7"/>
        <v>-1.0999999999999996</v>
      </c>
      <c r="Y58" s="2">
        <v>2950</v>
      </c>
      <c r="Z58" s="2">
        <v>75</v>
      </c>
      <c r="AA58" s="2">
        <v>70</v>
      </c>
      <c r="AB58" s="2">
        <v>329</v>
      </c>
      <c r="AC58" s="2">
        <v>1108</v>
      </c>
      <c r="AD58" s="2">
        <v>3.64</v>
      </c>
      <c r="AE58" s="2">
        <f t="shared" si="8"/>
        <v>3</v>
      </c>
      <c r="AF58" s="2">
        <v>50</v>
      </c>
      <c r="AG58" s="2">
        <v>5.1999999999999998E-2</v>
      </c>
    </row>
    <row r="59" spans="1:33" x14ac:dyDescent="0.3">
      <c r="A59" s="2">
        <v>58</v>
      </c>
      <c r="B59" s="2" t="s">
        <v>81</v>
      </c>
      <c r="C59" s="2">
        <v>29</v>
      </c>
      <c r="D59" s="2" t="str">
        <f>LOOKUP(C59,{0,0;16,"16-19";20,"20-24";25,"25-29";30,"30-34";35,"35-39";40,"40-44";45,"45-49";50,"50-54";55,"55-59";60,"60-64"})</f>
        <v>25-29</v>
      </c>
      <c r="E59" s="2">
        <v>72</v>
      </c>
      <c r="F59" s="2">
        <v>176</v>
      </c>
      <c r="G59" s="2">
        <v>15</v>
      </c>
      <c r="H59" s="2">
        <v>14.5</v>
      </c>
      <c r="I59" s="2">
        <f t="shared" si="0"/>
        <v>0.5</v>
      </c>
      <c r="J59" s="10">
        <f t="shared" si="1"/>
        <v>3.3333333333333335</v>
      </c>
      <c r="K59" s="2">
        <v>42.9</v>
      </c>
      <c r="L59" s="2">
        <v>41.3</v>
      </c>
      <c r="M59" s="2">
        <f t="shared" si="2"/>
        <v>1.6000000000000014</v>
      </c>
      <c r="N59" s="10">
        <f t="shared" si="3"/>
        <v>3.729603729603733</v>
      </c>
      <c r="O59" s="2">
        <v>335</v>
      </c>
      <c r="P59" s="2">
        <v>230</v>
      </c>
      <c r="Q59" s="2">
        <f t="shared" si="4"/>
        <v>105</v>
      </c>
      <c r="R59" s="2">
        <f t="shared" si="5"/>
        <v>31.343283582089555</v>
      </c>
      <c r="S59" s="2">
        <v>10.199999999999999</v>
      </c>
      <c r="T59" s="2">
        <v>10.5</v>
      </c>
      <c r="U59" s="2">
        <f t="shared" si="6"/>
        <v>-0.30000000000000071</v>
      </c>
      <c r="V59" s="2">
        <v>12.2</v>
      </c>
      <c r="W59" s="2">
        <v>12.9</v>
      </c>
      <c r="X59" s="2">
        <f t="shared" si="7"/>
        <v>-0.70000000000000107</v>
      </c>
      <c r="Y59" s="2">
        <v>3060</v>
      </c>
      <c r="Z59" s="2">
        <v>75</v>
      </c>
      <c r="AA59" s="2">
        <v>80</v>
      </c>
      <c r="AB59" s="2">
        <v>334</v>
      </c>
      <c r="AC59" s="2">
        <v>1137</v>
      </c>
      <c r="AD59" s="2">
        <v>3.79</v>
      </c>
      <c r="AE59" s="2">
        <f t="shared" si="8"/>
        <v>3</v>
      </c>
      <c r="AF59" s="2">
        <v>44</v>
      </c>
      <c r="AG59" s="2">
        <v>0.47</v>
      </c>
    </row>
    <row r="60" spans="1:33" x14ac:dyDescent="0.3">
      <c r="A60" s="2">
        <v>59</v>
      </c>
      <c r="B60" s="2" t="s">
        <v>81</v>
      </c>
      <c r="C60" s="2">
        <v>30</v>
      </c>
      <c r="D60" s="2" t="str">
        <f>LOOKUP(C60,{0,0;16,"16-19";20,"20-24";25,"25-29";30,"30-34";35,"35-39";40,"40-44";45,"45-49";50,"50-54";55,"55-59";60,"60-64"})</f>
        <v>30-34</v>
      </c>
      <c r="E60" s="2">
        <v>79</v>
      </c>
      <c r="F60" s="2">
        <v>181</v>
      </c>
      <c r="G60" s="2">
        <v>15.1</v>
      </c>
      <c r="H60" s="2">
        <v>14.3</v>
      </c>
      <c r="I60" s="2">
        <f t="shared" si="0"/>
        <v>0.79999999999999893</v>
      </c>
      <c r="J60" s="10">
        <f t="shared" si="1"/>
        <v>5.2980132450331059</v>
      </c>
      <c r="K60" s="2">
        <v>44.1</v>
      </c>
      <c r="L60" s="2">
        <v>42.2</v>
      </c>
      <c r="M60" s="2">
        <f t="shared" si="2"/>
        <v>1.8999999999999986</v>
      </c>
      <c r="N60" s="10">
        <f t="shared" si="3"/>
        <v>4.3083900226757335</v>
      </c>
      <c r="O60" s="2">
        <v>299</v>
      </c>
      <c r="P60" s="2">
        <v>208</v>
      </c>
      <c r="Q60" s="2">
        <f t="shared" si="4"/>
        <v>91</v>
      </c>
      <c r="R60" s="2">
        <f t="shared" si="5"/>
        <v>30.434782608695656</v>
      </c>
      <c r="S60" s="2">
        <v>10.1</v>
      </c>
      <c r="T60" s="2">
        <v>10.5</v>
      </c>
      <c r="U60" s="2">
        <f t="shared" si="6"/>
        <v>-0.40000000000000036</v>
      </c>
      <c r="V60" s="2">
        <v>11.6</v>
      </c>
      <c r="W60" s="2">
        <v>12.6</v>
      </c>
      <c r="X60" s="2">
        <f t="shared" si="7"/>
        <v>-1</v>
      </c>
      <c r="Y60" s="2">
        <v>3195</v>
      </c>
      <c r="Z60" s="2">
        <v>75</v>
      </c>
      <c r="AA60" s="2">
        <v>77</v>
      </c>
      <c r="AB60" s="2">
        <v>340</v>
      </c>
      <c r="AC60" s="2">
        <v>1180</v>
      </c>
      <c r="AD60" s="2">
        <v>4.01</v>
      </c>
      <c r="AE60" s="2">
        <f t="shared" si="8"/>
        <v>3</v>
      </c>
      <c r="AF60" s="2">
        <v>50</v>
      </c>
      <c r="AG60" s="2">
        <v>5.1999999999999998E-2</v>
      </c>
    </row>
    <row r="61" spans="1:33" x14ac:dyDescent="0.3">
      <c r="A61" s="2">
        <v>60</v>
      </c>
      <c r="B61" s="2" t="s">
        <v>81</v>
      </c>
      <c r="C61" s="2">
        <v>29</v>
      </c>
      <c r="D61" s="2" t="str">
        <f>LOOKUP(C61,{0,0;16,"16-19";20,"20-24";25,"25-29";30,"30-34";35,"35-39";40,"40-44";45,"45-49";50,"50-54";55,"55-59";60,"60-64"})</f>
        <v>25-29</v>
      </c>
      <c r="E61" s="2">
        <v>72</v>
      </c>
      <c r="F61" s="2">
        <v>176</v>
      </c>
      <c r="G61" s="2">
        <v>14.7</v>
      </c>
      <c r="H61" s="2">
        <v>14.4</v>
      </c>
      <c r="I61" s="2">
        <f t="shared" si="0"/>
        <v>0.29999999999999893</v>
      </c>
      <c r="J61" s="10">
        <f t="shared" si="1"/>
        <v>2.0408163265306052</v>
      </c>
      <c r="K61" s="2">
        <v>41.9</v>
      </c>
      <c r="L61" s="2">
        <v>40.5</v>
      </c>
      <c r="M61" s="2">
        <f t="shared" si="2"/>
        <v>1.3999999999999986</v>
      </c>
      <c r="N61" s="10">
        <f t="shared" si="3"/>
        <v>3.3412887828162257</v>
      </c>
      <c r="O61" s="2">
        <v>277</v>
      </c>
      <c r="P61" s="2">
        <v>190</v>
      </c>
      <c r="Q61" s="2">
        <f t="shared" si="4"/>
        <v>87</v>
      </c>
      <c r="R61" s="2">
        <f t="shared" si="5"/>
        <v>31.40794223826715</v>
      </c>
      <c r="S61" s="2">
        <v>9.9</v>
      </c>
      <c r="T61" s="2">
        <v>10.6</v>
      </c>
      <c r="U61" s="2">
        <f t="shared" si="6"/>
        <v>-0.69999999999999929</v>
      </c>
      <c r="V61" s="2">
        <v>11.5</v>
      </c>
      <c r="W61" s="2">
        <v>12.4</v>
      </c>
      <c r="X61" s="2">
        <f t="shared" si="7"/>
        <v>-0.90000000000000036</v>
      </c>
      <c r="Y61" s="2">
        <v>3325</v>
      </c>
      <c r="Z61" s="2">
        <v>75</v>
      </c>
      <c r="AA61" s="2">
        <v>72</v>
      </c>
      <c r="AB61" s="2">
        <v>340</v>
      </c>
      <c r="AC61" s="2">
        <v>1160</v>
      </c>
      <c r="AD61" s="2">
        <v>3.94</v>
      </c>
      <c r="AE61" s="2">
        <f t="shared" si="8"/>
        <v>3</v>
      </c>
      <c r="AF61" s="2">
        <v>51</v>
      </c>
      <c r="AG61" s="2">
        <v>5.3999999999999999E-2</v>
      </c>
    </row>
    <row r="62" spans="1:33" x14ac:dyDescent="0.3">
      <c r="A62" s="2">
        <v>61</v>
      </c>
      <c r="B62" t="s">
        <v>90</v>
      </c>
      <c r="C62">
        <v>36</v>
      </c>
      <c r="D62" s="2" t="str">
        <f>LOOKUP(C62,{0,0;16,"16-19";20,"20-24";25,"25-29";30,"30-34";35,"35-39";40,"40-44";45,"45-49";50,"50-54";55,"55-59";60,"60-64"})</f>
        <v>35-39</v>
      </c>
      <c r="E62">
        <v>76</v>
      </c>
      <c r="F62">
        <v>174</v>
      </c>
      <c r="G62">
        <v>14.2</v>
      </c>
      <c r="H62">
        <v>13.9</v>
      </c>
      <c r="I62" s="2">
        <f t="shared" si="0"/>
        <v>0.29999999999999893</v>
      </c>
      <c r="J62" s="10">
        <f t="shared" si="1"/>
        <v>2.1126760563380209</v>
      </c>
      <c r="K62">
        <v>42.4</v>
      </c>
      <c r="L62">
        <v>41.2</v>
      </c>
      <c r="M62" s="2">
        <f t="shared" si="2"/>
        <v>1.1999999999999957</v>
      </c>
      <c r="N62" s="10">
        <f t="shared" si="3"/>
        <v>2.8301886792452731</v>
      </c>
      <c r="O62">
        <v>330</v>
      </c>
      <c r="P62">
        <v>274</v>
      </c>
      <c r="Q62" s="2">
        <f t="shared" si="4"/>
        <v>56</v>
      </c>
      <c r="R62" s="2">
        <f t="shared" si="5"/>
        <v>16.969696969696972</v>
      </c>
      <c r="S62">
        <v>8.3000000000000007</v>
      </c>
      <c r="T62">
        <v>8.8000000000000007</v>
      </c>
      <c r="U62" s="2">
        <f t="shared" si="6"/>
        <v>-0.5</v>
      </c>
      <c r="V62">
        <v>9.6</v>
      </c>
      <c r="W62">
        <v>10.5</v>
      </c>
      <c r="X62" s="2">
        <f t="shared" si="7"/>
        <v>-0.90000000000000036</v>
      </c>
      <c r="Y62">
        <v>1892</v>
      </c>
      <c r="Z62">
        <v>96</v>
      </c>
      <c r="AA62">
        <v>39</v>
      </c>
      <c r="AB62">
        <v>261</v>
      </c>
      <c r="AC62">
        <v>1560</v>
      </c>
      <c r="AD62">
        <v>4.07</v>
      </c>
      <c r="AE62" s="2">
        <f t="shared" si="8"/>
        <v>3</v>
      </c>
      <c r="AF62">
        <v>89.38</v>
      </c>
      <c r="AG62">
        <v>0.1</v>
      </c>
    </row>
    <row r="63" spans="1:33" x14ac:dyDescent="0.3">
      <c r="A63" s="2">
        <v>62</v>
      </c>
      <c r="B63" t="s">
        <v>90</v>
      </c>
      <c r="C63">
        <v>30</v>
      </c>
      <c r="D63" s="2" t="str">
        <f>LOOKUP(C63,{0,0;16,"16-19";20,"20-24";25,"25-29";30,"30-34";35,"35-39";40,"40-44";45,"45-49";50,"50-54";55,"55-59";60,"60-64"})</f>
        <v>30-34</v>
      </c>
      <c r="E63">
        <v>72</v>
      </c>
      <c r="F63">
        <v>165</v>
      </c>
      <c r="G63">
        <v>15.3</v>
      </c>
      <c r="H63">
        <v>14.8</v>
      </c>
      <c r="I63" s="2">
        <f t="shared" si="0"/>
        <v>0.5</v>
      </c>
      <c r="J63" s="10">
        <f t="shared" si="1"/>
        <v>3.2679738562091507</v>
      </c>
      <c r="K63">
        <v>41.7</v>
      </c>
      <c r="L63">
        <v>41</v>
      </c>
      <c r="M63" s="2">
        <f t="shared" si="2"/>
        <v>0.70000000000000284</v>
      </c>
      <c r="N63" s="10">
        <f t="shared" si="3"/>
        <v>1.6786570743405342</v>
      </c>
      <c r="O63">
        <v>174</v>
      </c>
      <c r="P63">
        <v>125</v>
      </c>
      <c r="Q63" s="2">
        <f t="shared" si="4"/>
        <v>49</v>
      </c>
      <c r="R63" s="2">
        <f t="shared" si="5"/>
        <v>28.160919540229884</v>
      </c>
      <c r="S63">
        <v>11.8</v>
      </c>
      <c r="T63">
        <v>12.6</v>
      </c>
      <c r="U63" s="2">
        <f t="shared" si="6"/>
        <v>-0.79999999999999893</v>
      </c>
      <c r="V63">
        <v>17.7</v>
      </c>
      <c r="W63">
        <v>18.5</v>
      </c>
      <c r="X63" s="2">
        <f t="shared" si="7"/>
        <v>-0.80000000000000071</v>
      </c>
      <c r="Y63">
        <v>3598</v>
      </c>
      <c r="Z63">
        <v>92</v>
      </c>
      <c r="AA63">
        <v>77</v>
      </c>
      <c r="AB63">
        <v>262</v>
      </c>
      <c r="AC63">
        <v>1466</v>
      </c>
      <c r="AD63">
        <v>3.84</v>
      </c>
      <c r="AE63" s="2">
        <f t="shared" si="8"/>
        <v>3</v>
      </c>
      <c r="AF63">
        <v>70.47</v>
      </c>
      <c r="AG63">
        <v>4.9000000000000002E-2</v>
      </c>
    </row>
    <row r="64" spans="1:33" x14ac:dyDescent="0.3">
      <c r="A64" s="2">
        <v>63</v>
      </c>
      <c r="B64" t="s">
        <v>90</v>
      </c>
      <c r="C64">
        <v>29</v>
      </c>
      <c r="D64" s="2" t="str">
        <f>LOOKUP(C64,{0,0;16,"16-19";20,"20-24";25,"25-29";30,"30-34";35,"35-39";40,"40-44";45,"45-49";50,"50-54";55,"55-59";60,"60-64"})</f>
        <v>25-29</v>
      </c>
      <c r="E64">
        <v>77</v>
      </c>
      <c r="F64">
        <v>176</v>
      </c>
      <c r="G64">
        <v>14.3</v>
      </c>
      <c r="H64">
        <v>14.8</v>
      </c>
      <c r="I64" s="2">
        <f t="shared" si="0"/>
        <v>-0.5</v>
      </c>
      <c r="J64" s="10">
        <f t="shared" si="1"/>
        <v>-3.4965034965034962</v>
      </c>
      <c r="K64">
        <v>42</v>
      </c>
      <c r="L64">
        <v>43.1</v>
      </c>
      <c r="M64" s="2">
        <f t="shared" si="2"/>
        <v>-1.1000000000000014</v>
      </c>
      <c r="N64" s="10">
        <f t="shared" si="3"/>
        <v>-2.6190476190476226</v>
      </c>
      <c r="O64">
        <v>252</v>
      </c>
      <c r="P64">
        <v>164</v>
      </c>
      <c r="Q64" s="2">
        <f t="shared" si="4"/>
        <v>88</v>
      </c>
      <c r="R64" s="2">
        <f t="shared" si="5"/>
        <v>34.920634920634917</v>
      </c>
      <c r="S64">
        <v>11.9</v>
      </c>
      <c r="T64">
        <v>11.9</v>
      </c>
      <c r="U64" s="2">
        <f t="shared" si="6"/>
        <v>0</v>
      </c>
      <c r="V64">
        <v>16.100000000000001</v>
      </c>
      <c r="W64">
        <v>17.3</v>
      </c>
      <c r="X64" s="2">
        <f t="shared" si="7"/>
        <v>-1.1999999999999993</v>
      </c>
      <c r="Y64">
        <v>2428</v>
      </c>
      <c r="Z64">
        <v>100</v>
      </c>
      <c r="AA64">
        <v>48</v>
      </c>
      <c r="AB64">
        <v>263</v>
      </c>
      <c r="AC64">
        <v>1738</v>
      </c>
      <c r="AD64">
        <v>4.57</v>
      </c>
      <c r="AE64" s="2">
        <f t="shared" si="8"/>
        <v>3</v>
      </c>
      <c r="AF64">
        <v>96.79</v>
      </c>
      <c r="AG64">
        <v>9.5000000000000001E-2</v>
      </c>
    </row>
    <row r="65" spans="1:33" x14ac:dyDescent="0.3">
      <c r="A65" s="2">
        <v>64</v>
      </c>
      <c r="B65" t="s">
        <v>90</v>
      </c>
      <c r="C65">
        <v>26</v>
      </c>
      <c r="D65" s="2" t="str">
        <f>LOOKUP(C65,{0,0;16,"16-19";20,"20-24";25,"25-29";30,"30-34";35,"35-39";40,"40-44";45,"45-49";50,"50-54";55,"55-59";60,"60-64"})</f>
        <v>25-29</v>
      </c>
      <c r="E65">
        <v>66</v>
      </c>
      <c r="F65">
        <v>168</v>
      </c>
      <c r="G65">
        <v>14.6</v>
      </c>
      <c r="H65">
        <v>14</v>
      </c>
      <c r="I65" s="2">
        <f t="shared" si="0"/>
        <v>0.59999999999999964</v>
      </c>
      <c r="J65" s="10">
        <f t="shared" si="1"/>
        <v>4.1095890410958882</v>
      </c>
      <c r="K65">
        <v>39.4</v>
      </c>
      <c r="L65">
        <v>38.200000000000003</v>
      </c>
      <c r="M65" s="2">
        <f t="shared" si="2"/>
        <v>1.1999999999999957</v>
      </c>
      <c r="N65" s="10">
        <f t="shared" si="3"/>
        <v>3.0456852791878064</v>
      </c>
      <c r="O65">
        <v>215</v>
      </c>
      <c r="P65">
        <v>166</v>
      </c>
      <c r="Q65" s="2">
        <f t="shared" si="4"/>
        <v>49</v>
      </c>
      <c r="R65" s="2">
        <f t="shared" si="5"/>
        <v>22.790697674418606</v>
      </c>
      <c r="S65">
        <v>8.8000000000000007</v>
      </c>
      <c r="T65">
        <v>9.5</v>
      </c>
      <c r="U65" s="2">
        <f t="shared" si="6"/>
        <v>-0.69999999999999929</v>
      </c>
      <c r="V65">
        <v>9.5</v>
      </c>
      <c r="W65">
        <v>10.7</v>
      </c>
      <c r="X65" s="2">
        <f t="shared" si="7"/>
        <v>-1.1999999999999993</v>
      </c>
      <c r="Y65">
        <v>2842</v>
      </c>
      <c r="Z65">
        <v>92</v>
      </c>
      <c r="AA65">
        <v>61</v>
      </c>
      <c r="AB65">
        <v>260</v>
      </c>
      <c r="AC65">
        <v>1590</v>
      </c>
      <c r="AD65">
        <v>4.13</v>
      </c>
      <c r="AE65" s="2">
        <f t="shared" si="8"/>
        <v>3</v>
      </c>
      <c r="AF65">
        <v>79.83</v>
      </c>
      <c r="AG65">
        <v>6.7000000000000004E-2</v>
      </c>
    </row>
    <row r="66" spans="1:33" x14ac:dyDescent="0.3">
      <c r="A66" s="2">
        <v>65</v>
      </c>
      <c r="B66" t="s">
        <v>90</v>
      </c>
      <c r="C66">
        <v>25</v>
      </c>
      <c r="D66" s="2" t="str">
        <f>LOOKUP(C66,{0,0;16,"16-19";20,"20-24";25,"25-29";30,"30-34";35,"35-39";40,"40-44";45,"45-49";50,"50-54";55,"55-59";60,"60-64"})</f>
        <v>25-29</v>
      </c>
      <c r="E66">
        <v>65</v>
      </c>
      <c r="F66">
        <v>168</v>
      </c>
      <c r="G66">
        <v>15.9</v>
      </c>
      <c r="H66">
        <v>15.1</v>
      </c>
      <c r="I66" s="2">
        <f t="shared" si="0"/>
        <v>0.80000000000000071</v>
      </c>
      <c r="J66" s="10">
        <f t="shared" si="1"/>
        <v>5.0314465408805074</v>
      </c>
      <c r="K66">
        <v>47.6</v>
      </c>
      <c r="L66">
        <v>45.5</v>
      </c>
      <c r="M66" s="2">
        <f t="shared" si="2"/>
        <v>2.1000000000000014</v>
      </c>
      <c r="N66" s="10">
        <f t="shared" si="3"/>
        <v>4.4117647058823559</v>
      </c>
      <c r="O66">
        <v>310</v>
      </c>
      <c r="P66">
        <v>242</v>
      </c>
      <c r="Q66" s="2">
        <f t="shared" si="4"/>
        <v>68</v>
      </c>
      <c r="R66" s="2">
        <f t="shared" si="5"/>
        <v>21.935483870967744</v>
      </c>
      <c r="S66">
        <v>10</v>
      </c>
      <c r="T66">
        <v>10.3</v>
      </c>
      <c r="U66" s="2">
        <f t="shared" si="6"/>
        <v>-0.30000000000000071</v>
      </c>
      <c r="V66">
        <v>13.4</v>
      </c>
      <c r="W66">
        <v>13.5</v>
      </c>
      <c r="X66" s="2">
        <f t="shared" si="7"/>
        <v>-9.9999999999999645E-2</v>
      </c>
      <c r="Y66">
        <v>1625</v>
      </c>
      <c r="Z66">
        <v>82</v>
      </c>
      <c r="AA66">
        <v>39</v>
      </c>
      <c r="AB66">
        <v>262</v>
      </c>
      <c r="AC66">
        <v>1238</v>
      </c>
      <c r="AD66">
        <v>3.24</v>
      </c>
      <c r="AE66" s="2">
        <f t="shared" si="8"/>
        <v>2</v>
      </c>
      <c r="AF66">
        <v>76.69</v>
      </c>
      <c r="AG66">
        <v>8.3000000000000004E-2</v>
      </c>
    </row>
    <row r="67" spans="1:33" x14ac:dyDescent="0.3">
      <c r="A67" s="2">
        <v>66</v>
      </c>
      <c r="B67" t="s">
        <v>90</v>
      </c>
      <c r="C67">
        <v>26</v>
      </c>
      <c r="D67" s="2" t="str">
        <f>LOOKUP(C67,{0,0;16,"16-19";20,"20-24";25,"25-29";30,"30-34";35,"35-39";40,"40-44";45,"45-49";50,"50-54";55,"55-59";60,"60-64"})</f>
        <v>25-29</v>
      </c>
      <c r="E67">
        <v>77</v>
      </c>
      <c r="F67">
        <v>172</v>
      </c>
      <c r="G67">
        <v>14.7</v>
      </c>
      <c r="H67">
        <v>14.2</v>
      </c>
      <c r="I67" s="2">
        <f t="shared" ref="I67:I91" si="9">G67-H67</f>
        <v>0.5</v>
      </c>
      <c r="J67" s="10">
        <f t="shared" ref="J67:J91" si="10">(I67/G67)*100</f>
        <v>3.4013605442176873</v>
      </c>
      <c r="K67">
        <v>43.5</v>
      </c>
      <c r="L67">
        <v>42.7</v>
      </c>
      <c r="M67" s="2">
        <f t="shared" ref="M67:M91" si="11">K67-L67</f>
        <v>0.79999999999999716</v>
      </c>
      <c r="N67" s="10">
        <f t="shared" ref="N67:N91" si="12">(M67/K67)*100</f>
        <v>1.8390804597701083</v>
      </c>
      <c r="O67">
        <v>231</v>
      </c>
      <c r="P67">
        <v>178</v>
      </c>
      <c r="Q67" s="2">
        <f t="shared" ref="Q67:Q91" si="13">O67-P67</f>
        <v>53</v>
      </c>
      <c r="R67" s="2">
        <f t="shared" ref="R67:R91" si="14">(Q67/O67)*100</f>
        <v>22.943722943722943</v>
      </c>
      <c r="S67">
        <v>11.8</v>
      </c>
      <c r="T67">
        <v>12.3</v>
      </c>
      <c r="U67" s="2">
        <f t="shared" ref="U67:U91" si="15">S67-T67</f>
        <v>-0.5</v>
      </c>
      <c r="V67">
        <v>17.2</v>
      </c>
      <c r="W67">
        <v>18</v>
      </c>
      <c r="X67" s="2">
        <f t="shared" ref="X67:X91" si="16">V67-W67</f>
        <v>-0.80000000000000071</v>
      </c>
      <c r="Y67">
        <v>2578</v>
      </c>
      <c r="Z67">
        <v>98</v>
      </c>
      <c r="AA67">
        <v>52</v>
      </c>
      <c r="AB67">
        <v>260</v>
      </c>
      <c r="AC67">
        <v>1682</v>
      </c>
      <c r="AD67">
        <v>4.37</v>
      </c>
      <c r="AE67" s="2">
        <f t="shared" ref="AE67:AE91" si="17">_xlfn.IFS(AD67&lt;3,1,AD67&lt;3.5,2,AD67&gt;3.5,3)</f>
        <v>3</v>
      </c>
      <c r="AF67">
        <v>97.11</v>
      </c>
      <c r="AG67">
        <v>8.4000000000000005E-2</v>
      </c>
    </row>
    <row r="68" spans="1:33" x14ac:dyDescent="0.3">
      <c r="A68" s="2">
        <v>67</v>
      </c>
      <c r="B68" t="s">
        <v>90</v>
      </c>
      <c r="C68">
        <v>24</v>
      </c>
      <c r="D68" s="2" t="str">
        <f>LOOKUP(C68,{0,0;16,"16-19";20,"20-24";25,"25-29";30,"30-34";35,"35-39";40,"40-44";45,"45-49";50,"50-54";55,"55-59";60,"60-64"})</f>
        <v>20-24</v>
      </c>
      <c r="E68">
        <v>83</v>
      </c>
      <c r="F68">
        <v>175</v>
      </c>
      <c r="G68">
        <v>12.7</v>
      </c>
      <c r="H68">
        <v>12.3</v>
      </c>
      <c r="I68" s="2">
        <f t="shared" si="9"/>
        <v>0.39999999999999858</v>
      </c>
      <c r="J68" s="10">
        <f t="shared" si="10"/>
        <v>3.1496062992125875</v>
      </c>
      <c r="K68">
        <v>38.299999999999997</v>
      </c>
      <c r="L68">
        <v>37.5</v>
      </c>
      <c r="M68" s="2">
        <f t="shared" si="11"/>
        <v>0.79999999999999716</v>
      </c>
      <c r="N68" s="10">
        <f t="shared" si="12"/>
        <v>2.0887728459529953</v>
      </c>
      <c r="O68">
        <v>325</v>
      </c>
      <c r="P68">
        <v>262</v>
      </c>
      <c r="Q68" s="2">
        <f t="shared" si="13"/>
        <v>63</v>
      </c>
      <c r="R68" s="2">
        <f t="shared" si="14"/>
        <v>19.384615384615383</v>
      </c>
      <c r="S68">
        <v>9.6</v>
      </c>
      <c r="T68">
        <v>9.4</v>
      </c>
      <c r="U68" s="2">
        <f t="shared" si="15"/>
        <v>0.19999999999999929</v>
      </c>
      <c r="V68">
        <v>11</v>
      </c>
      <c r="W68">
        <v>11.4</v>
      </c>
      <c r="X68" s="2">
        <f t="shared" si="16"/>
        <v>-0.40000000000000036</v>
      </c>
      <c r="Y68">
        <v>1909</v>
      </c>
      <c r="Z68">
        <v>96</v>
      </c>
      <c r="AA68">
        <v>39</v>
      </c>
      <c r="AB68">
        <v>283</v>
      </c>
      <c r="AC68">
        <v>1524</v>
      </c>
      <c r="AD68">
        <v>4.3099999999999996</v>
      </c>
      <c r="AE68" s="2">
        <f t="shared" si="17"/>
        <v>3</v>
      </c>
      <c r="AF68">
        <v>89.09</v>
      </c>
      <c r="AG68">
        <v>0.11</v>
      </c>
    </row>
    <row r="69" spans="1:33" x14ac:dyDescent="0.3">
      <c r="A69" s="2">
        <v>68</v>
      </c>
      <c r="B69" t="s">
        <v>90</v>
      </c>
      <c r="C69">
        <v>28</v>
      </c>
      <c r="D69" s="2" t="str">
        <f>LOOKUP(C69,{0,0;16,"16-19";20,"20-24";25,"25-29";30,"30-34";35,"35-39";40,"40-44";45,"45-49";50,"50-54";55,"55-59";60,"60-64"})</f>
        <v>25-29</v>
      </c>
      <c r="E69">
        <v>92</v>
      </c>
      <c r="F69">
        <v>180</v>
      </c>
      <c r="G69">
        <v>15.2</v>
      </c>
      <c r="H69">
        <v>14.7</v>
      </c>
      <c r="I69" s="2">
        <f t="shared" si="9"/>
        <v>0.5</v>
      </c>
      <c r="J69" s="10">
        <f t="shared" si="10"/>
        <v>3.2894736842105261</v>
      </c>
      <c r="K69">
        <v>45.5</v>
      </c>
      <c r="L69">
        <v>44.9</v>
      </c>
      <c r="M69" s="2">
        <f t="shared" si="11"/>
        <v>0.60000000000000142</v>
      </c>
      <c r="N69" s="10">
        <f t="shared" si="12"/>
        <v>1.3186813186813218</v>
      </c>
      <c r="O69">
        <v>306</v>
      </c>
      <c r="P69">
        <v>264</v>
      </c>
      <c r="Q69" s="2">
        <f t="shared" si="13"/>
        <v>42</v>
      </c>
      <c r="R69" s="2">
        <f t="shared" si="14"/>
        <v>13.725490196078432</v>
      </c>
      <c r="S69">
        <v>9.5</v>
      </c>
      <c r="T69">
        <v>9.9</v>
      </c>
      <c r="U69" s="2">
        <f t="shared" si="15"/>
        <v>-0.40000000000000036</v>
      </c>
      <c r="V69">
        <v>11</v>
      </c>
      <c r="W69">
        <v>12.6</v>
      </c>
      <c r="X69" s="2">
        <f t="shared" si="16"/>
        <v>-1.5999999999999996</v>
      </c>
      <c r="Y69">
        <v>1991</v>
      </c>
      <c r="Z69">
        <v>98</v>
      </c>
      <c r="AA69">
        <v>40</v>
      </c>
      <c r="AB69">
        <v>282</v>
      </c>
      <c r="AC69">
        <v>1563</v>
      </c>
      <c r="AD69">
        <v>4.4000000000000004</v>
      </c>
      <c r="AE69" s="2">
        <f t="shared" si="17"/>
        <v>3</v>
      </c>
      <c r="AF69">
        <v>82.06</v>
      </c>
      <c r="AG69">
        <v>0.11</v>
      </c>
    </row>
    <row r="70" spans="1:33" x14ac:dyDescent="0.3">
      <c r="A70" s="2">
        <v>69</v>
      </c>
      <c r="B70" t="s">
        <v>90</v>
      </c>
      <c r="C70">
        <v>21</v>
      </c>
      <c r="D70" s="2" t="str">
        <f>LOOKUP(C70,{0,0;16,"16-19";20,"20-24";25,"25-29";30,"30-34";35,"35-39";40,"40-44";45,"45-49";50,"50-54";55,"55-59";60,"60-64"})</f>
        <v>20-24</v>
      </c>
      <c r="E70">
        <v>62</v>
      </c>
      <c r="F70">
        <v>171</v>
      </c>
      <c r="G70">
        <v>15.4</v>
      </c>
      <c r="H70">
        <v>15.1</v>
      </c>
      <c r="I70" s="2">
        <f t="shared" si="9"/>
        <v>0.30000000000000071</v>
      </c>
      <c r="J70" s="10">
        <f t="shared" si="10"/>
        <v>1.9480519480519525</v>
      </c>
      <c r="K70">
        <v>46.1</v>
      </c>
      <c r="L70">
        <v>44.8</v>
      </c>
      <c r="M70" s="2">
        <f t="shared" si="11"/>
        <v>1.3000000000000043</v>
      </c>
      <c r="N70" s="10">
        <f t="shared" si="12"/>
        <v>2.8199566160520702</v>
      </c>
      <c r="O70">
        <v>316</v>
      </c>
      <c r="P70">
        <v>208</v>
      </c>
      <c r="Q70" s="2">
        <f t="shared" si="13"/>
        <v>108</v>
      </c>
      <c r="R70" s="2">
        <f t="shared" si="14"/>
        <v>34.177215189873415</v>
      </c>
      <c r="S70">
        <v>7.4</v>
      </c>
      <c r="T70">
        <v>7.7</v>
      </c>
      <c r="U70" s="2">
        <f t="shared" si="15"/>
        <v>-0.29999999999999982</v>
      </c>
      <c r="V70">
        <v>7.9</v>
      </c>
      <c r="W70">
        <v>8.1</v>
      </c>
      <c r="X70" s="2">
        <f t="shared" si="16"/>
        <v>-0.19999999999999929</v>
      </c>
      <c r="Y70">
        <v>2011</v>
      </c>
      <c r="Z70">
        <v>88</v>
      </c>
      <c r="AA70">
        <v>45</v>
      </c>
      <c r="AB70">
        <v>262</v>
      </c>
      <c r="AC70">
        <v>1699</v>
      </c>
      <c r="AD70">
        <v>4.45</v>
      </c>
      <c r="AE70" s="2">
        <f t="shared" si="17"/>
        <v>3</v>
      </c>
      <c r="AF70">
        <v>97.94</v>
      </c>
      <c r="AG70">
        <v>0.09</v>
      </c>
    </row>
    <row r="71" spans="1:33" x14ac:dyDescent="0.3">
      <c r="A71" s="2">
        <v>70</v>
      </c>
      <c r="B71" t="s">
        <v>90</v>
      </c>
      <c r="C71">
        <v>42</v>
      </c>
      <c r="D71" s="2" t="str">
        <f>LOOKUP(C71,{0,0;16,"16-19";20,"20-24";25,"25-29";30,"30-34";35,"35-39";40,"40-44";45,"45-49";50,"50-54";55,"55-59";60,"60-64"})</f>
        <v>40-44</v>
      </c>
      <c r="E71">
        <v>75</v>
      </c>
      <c r="F71">
        <v>172</v>
      </c>
      <c r="G71">
        <v>12.8</v>
      </c>
      <c r="H71">
        <v>12</v>
      </c>
      <c r="I71" s="2">
        <f t="shared" si="9"/>
        <v>0.80000000000000071</v>
      </c>
      <c r="J71" s="10">
        <f t="shared" si="10"/>
        <v>6.2500000000000053</v>
      </c>
      <c r="K71">
        <v>40.5</v>
      </c>
      <c r="L71">
        <v>39</v>
      </c>
      <c r="M71" s="2">
        <f t="shared" si="11"/>
        <v>1.5</v>
      </c>
      <c r="N71" s="10">
        <f t="shared" si="12"/>
        <v>3.7037037037037033</v>
      </c>
      <c r="O71">
        <v>331</v>
      </c>
      <c r="P71">
        <v>273</v>
      </c>
      <c r="Q71" s="2">
        <f t="shared" si="13"/>
        <v>58</v>
      </c>
      <c r="R71" s="2">
        <f t="shared" si="14"/>
        <v>17.522658610271904</v>
      </c>
      <c r="S71">
        <v>9.1999999999999993</v>
      </c>
      <c r="T71">
        <v>9.6</v>
      </c>
      <c r="U71" s="2">
        <f t="shared" si="15"/>
        <v>-0.40000000000000036</v>
      </c>
      <c r="V71">
        <v>10.7</v>
      </c>
      <c r="W71">
        <v>11</v>
      </c>
      <c r="X71" s="2">
        <f t="shared" si="16"/>
        <v>-0.30000000000000071</v>
      </c>
      <c r="Y71">
        <v>1881</v>
      </c>
      <c r="Z71">
        <v>94</v>
      </c>
      <c r="AA71">
        <v>40</v>
      </c>
      <c r="AB71">
        <v>260</v>
      </c>
      <c r="AC71">
        <v>1791</v>
      </c>
      <c r="AD71">
        <v>4.6500000000000004</v>
      </c>
      <c r="AE71" s="2">
        <f t="shared" si="17"/>
        <v>3</v>
      </c>
      <c r="AF71">
        <v>98.39</v>
      </c>
      <c r="AG71">
        <v>0.11</v>
      </c>
    </row>
    <row r="72" spans="1:33" x14ac:dyDescent="0.3">
      <c r="A72" s="2">
        <v>71</v>
      </c>
      <c r="B72" t="s">
        <v>90</v>
      </c>
      <c r="C72">
        <v>32</v>
      </c>
      <c r="D72" s="2" t="str">
        <f>LOOKUP(C72,{0,0;16,"16-19";20,"20-24";25,"25-29";30,"30-34";35,"35-39";40,"40-44";45,"45-49";50,"50-54";55,"55-59";60,"60-64"})</f>
        <v>30-34</v>
      </c>
      <c r="E72">
        <v>75</v>
      </c>
      <c r="F72">
        <v>170</v>
      </c>
      <c r="G72">
        <v>15</v>
      </c>
      <c r="H72">
        <v>14.5</v>
      </c>
      <c r="I72" s="2">
        <f t="shared" si="9"/>
        <v>0.5</v>
      </c>
      <c r="J72" s="10">
        <f t="shared" si="10"/>
        <v>3.3333333333333335</v>
      </c>
      <c r="K72">
        <v>42</v>
      </c>
      <c r="L72">
        <v>41</v>
      </c>
      <c r="M72" s="2">
        <f t="shared" si="11"/>
        <v>1</v>
      </c>
      <c r="N72" s="10">
        <f t="shared" si="12"/>
        <v>2.3809523809523809</v>
      </c>
      <c r="O72">
        <v>260</v>
      </c>
      <c r="P72">
        <v>200</v>
      </c>
      <c r="Q72" s="2">
        <f t="shared" si="13"/>
        <v>60</v>
      </c>
      <c r="R72" s="2">
        <f t="shared" si="14"/>
        <v>23.076923076923077</v>
      </c>
      <c r="S72">
        <v>10.5</v>
      </c>
      <c r="T72">
        <v>11</v>
      </c>
      <c r="U72" s="2">
        <f t="shared" si="15"/>
        <v>-0.5</v>
      </c>
      <c r="V72">
        <v>12</v>
      </c>
      <c r="W72">
        <v>12.5</v>
      </c>
      <c r="X72" s="2">
        <f t="shared" si="16"/>
        <v>-0.5</v>
      </c>
      <c r="Y72">
        <v>2500</v>
      </c>
      <c r="Z72">
        <v>82</v>
      </c>
      <c r="AA72">
        <v>60</v>
      </c>
      <c r="AB72">
        <v>270</v>
      </c>
      <c r="AC72">
        <v>1500</v>
      </c>
      <c r="AD72">
        <v>3.9</v>
      </c>
      <c r="AE72" s="2">
        <f t="shared" si="17"/>
        <v>3</v>
      </c>
      <c r="AF72">
        <v>78</v>
      </c>
      <c r="AG72">
        <v>6.5000000000000002E-2</v>
      </c>
    </row>
    <row r="73" spans="1:33" x14ac:dyDescent="0.3">
      <c r="A73" s="2">
        <v>72</v>
      </c>
      <c r="B73" t="s">
        <v>90</v>
      </c>
      <c r="C73">
        <v>29</v>
      </c>
      <c r="D73" s="2" t="str">
        <f>LOOKUP(C73,{0,0;16,"16-19";20,"20-24";25,"25-29";30,"30-34";35,"35-39";40,"40-44";45,"45-49";50,"50-54";55,"55-59";60,"60-64"})</f>
        <v>25-29</v>
      </c>
      <c r="E73">
        <v>68</v>
      </c>
      <c r="F73">
        <v>165</v>
      </c>
      <c r="G73">
        <v>14.8</v>
      </c>
      <c r="H73">
        <v>14.2</v>
      </c>
      <c r="I73" s="2">
        <f t="shared" si="9"/>
        <v>0.60000000000000142</v>
      </c>
      <c r="J73" s="10">
        <f t="shared" si="10"/>
        <v>4.0540540540540633</v>
      </c>
      <c r="K73">
        <v>40.5</v>
      </c>
      <c r="L73">
        <v>39.5</v>
      </c>
      <c r="M73" s="2">
        <f t="shared" si="11"/>
        <v>1</v>
      </c>
      <c r="N73" s="10">
        <f t="shared" si="12"/>
        <v>2.4691358024691357</v>
      </c>
      <c r="O73">
        <v>240</v>
      </c>
      <c r="P73">
        <v>180</v>
      </c>
      <c r="Q73" s="2">
        <f t="shared" si="13"/>
        <v>60</v>
      </c>
      <c r="R73" s="2">
        <f t="shared" si="14"/>
        <v>25</v>
      </c>
      <c r="S73">
        <v>9.8000000000000007</v>
      </c>
      <c r="T73">
        <v>10.199999999999999</v>
      </c>
      <c r="U73" s="2">
        <f t="shared" si="15"/>
        <v>-0.39999999999999858</v>
      </c>
      <c r="V73">
        <v>11.5</v>
      </c>
      <c r="W73">
        <v>12</v>
      </c>
      <c r="X73" s="2">
        <f t="shared" si="16"/>
        <v>-0.5</v>
      </c>
      <c r="Y73">
        <v>2600</v>
      </c>
      <c r="Z73">
        <v>82</v>
      </c>
      <c r="AA73">
        <v>62</v>
      </c>
      <c r="AB73">
        <v>265</v>
      </c>
      <c r="AC73">
        <v>1550</v>
      </c>
      <c r="AD73">
        <v>4.0999999999999996</v>
      </c>
      <c r="AE73" s="2">
        <f t="shared" si="17"/>
        <v>3</v>
      </c>
      <c r="AF73">
        <v>80.5</v>
      </c>
      <c r="AG73">
        <v>0.06</v>
      </c>
    </row>
    <row r="74" spans="1:33" x14ac:dyDescent="0.3">
      <c r="A74" s="2">
        <v>73</v>
      </c>
      <c r="B74" t="s">
        <v>90</v>
      </c>
      <c r="C74">
        <v>35</v>
      </c>
      <c r="D74" s="2" t="str">
        <f>LOOKUP(C74,{0,0;16,"16-19";20,"20-24";25,"25-29";30,"30-34";35,"35-39";40,"40-44";45,"45-49";50,"50-54";55,"55-59";60,"60-64"})</f>
        <v>35-39</v>
      </c>
      <c r="E74">
        <v>80</v>
      </c>
      <c r="F74">
        <v>175</v>
      </c>
      <c r="G74">
        <v>15.5</v>
      </c>
      <c r="H74">
        <v>15</v>
      </c>
      <c r="I74" s="2">
        <f t="shared" si="9"/>
        <v>0.5</v>
      </c>
      <c r="J74" s="10">
        <f t="shared" si="10"/>
        <v>3.225806451612903</v>
      </c>
      <c r="K74">
        <v>43</v>
      </c>
      <c r="L74">
        <v>42</v>
      </c>
      <c r="M74" s="2">
        <f t="shared" si="11"/>
        <v>1</v>
      </c>
      <c r="N74" s="10">
        <f t="shared" si="12"/>
        <v>2.3255813953488373</v>
      </c>
      <c r="O74">
        <v>280</v>
      </c>
      <c r="P74">
        <v>220</v>
      </c>
      <c r="Q74" s="2">
        <f t="shared" si="13"/>
        <v>60</v>
      </c>
      <c r="R74" s="2">
        <f t="shared" si="14"/>
        <v>21.428571428571427</v>
      </c>
      <c r="S74">
        <v>10.199999999999999</v>
      </c>
      <c r="T74">
        <v>10.7</v>
      </c>
      <c r="U74" s="2">
        <f t="shared" si="15"/>
        <v>-0.5</v>
      </c>
      <c r="V74">
        <v>13</v>
      </c>
      <c r="W74">
        <v>13.5</v>
      </c>
      <c r="X74" s="2">
        <f t="shared" si="16"/>
        <v>-0.5</v>
      </c>
      <c r="Y74">
        <v>2700</v>
      </c>
      <c r="Z74">
        <v>82</v>
      </c>
      <c r="AA74">
        <v>65</v>
      </c>
      <c r="AB74">
        <v>275</v>
      </c>
      <c r="AC74">
        <v>1600</v>
      </c>
      <c r="AD74">
        <v>4.2</v>
      </c>
      <c r="AE74" s="2">
        <f t="shared" si="17"/>
        <v>3</v>
      </c>
      <c r="AF74">
        <v>81</v>
      </c>
      <c r="AG74">
        <v>6.4000000000000001E-2</v>
      </c>
    </row>
    <row r="75" spans="1:33" x14ac:dyDescent="0.3">
      <c r="A75" s="2">
        <v>74</v>
      </c>
      <c r="B75" t="s">
        <v>90</v>
      </c>
      <c r="C75">
        <v>27</v>
      </c>
      <c r="D75" s="2" t="str">
        <f>LOOKUP(C75,{0,0;16,"16-19";20,"20-24";25,"25-29";30,"30-34";35,"35-39";40,"40-44";45,"45-49";50,"50-54";55,"55-59";60,"60-64"})</f>
        <v>25-29</v>
      </c>
      <c r="E75">
        <v>70</v>
      </c>
      <c r="F75">
        <v>168</v>
      </c>
      <c r="G75">
        <v>14.9</v>
      </c>
      <c r="H75">
        <v>14.4</v>
      </c>
      <c r="I75" s="2">
        <f t="shared" si="9"/>
        <v>0.5</v>
      </c>
      <c r="J75" s="10">
        <f t="shared" si="10"/>
        <v>3.3557046979865772</v>
      </c>
      <c r="K75">
        <v>41</v>
      </c>
      <c r="L75">
        <v>40</v>
      </c>
      <c r="M75" s="2">
        <f t="shared" si="11"/>
        <v>1</v>
      </c>
      <c r="N75" s="10">
        <f t="shared" si="12"/>
        <v>2.4390243902439024</v>
      </c>
      <c r="O75">
        <v>250</v>
      </c>
      <c r="P75">
        <v>190</v>
      </c>
      <c r="Q75" s="2">
        <f t="shared" si="13"/>
        <v>60</v>
      </c>
      <c r="R75" s="2">
        <f t="shared" si="14"/>
        <v>24</v>
      </c>
      <c r="S75">
        <v>9.5</v>
      </c>
      <c r="T75">
        <v>10</v>
      </c>
      <c r="U75" s="2">
        <f t="shared" si="15"/>
        <v>-0.5</v>
      </c>
      <c r="V75">
        <v>10.5</v>
      </c>
      <c r="W75">
        <v>11</v>
      </c>
      <c r="X75" s="2">
        <f t="shared" si="16"/>
        <v>-0.5</v>
      </c>
      <c r="Y75">
        <v>2550</v>
      </c>
      <c r="Z75">
        <v>86</v>
      </c>
      <c r="AA75">
        <v>58</v>
      </c>
      <c r="AB75">
        <v>260</v>
      </c>
      <c r="AC75">
        <v>1450</v>
      </c>
      <c r="AD75">
        <v>3.8</v>
      </c>
      <c r="AE75" s="2">
        <f t="shared" si="17"/>
        <v>3</v>
      </c>
      <c r="AF75">
        <v>77.5</v>
      </c>
      <c r="AG75">
        <v>6.5000000000000002E-2</v>
      </c>
    </row>
    <row r="76" spans="1:33" x14ac:dyDescent="0.3">
      <c r="A76" s="2">
        <v>75</v>
      </c>
      <c r="B76" t="s">
        <v>90</v>
      </c>
      <c r="C76">
        <v>31</v>
      </c>
      <c r="D76" s="2" t="str">
        <f>LOOKUP(C76,{0,0;16,"16-19";20,"20-24";25,"25-29";30,"30-34";35,"35-39";40,"40-44";45,"45-49";50,"50-54";55,"55-59";60,"60-64"})</f>
        <v>30-34</v>
      </c>
      <c r="E76">
        <v>74</v>
      </c>
      <c r="F76">
        <v>172</v>
      </c>
      <c r="G76">
        <v>15.2</v>
      </c>
      <c r="H76">
        <v>14.7</v>
      </c>
      <c r="I76" s="2">
        <f t="shared" si="9"/>
        <v>0.5</v>
      </c>
      <c r="J76" s="10">
        <f t="shared" si="10"/>
        <v>3.2894736842105261</v>
      </c>
      <c r="K76">
        <v>42.5</v>
      </c>
      <c r="L76">
        <v>41.5</v>
      </c>
      <c r="M76" s="2">
        <f t="shared" si="11"/>
        <v>1</v>
      </c>
      <c r="N76" s="10">
        <f t="shared" si="12"/>
        <v>2.3529411764705883</v>
      </c>
      <c r="O76">
        <v>270</v>
      </c>
      <c r="P76">
        <v>210</v>
      </c>
      <c r="Q76" s="2">
        <f t="shared" si="13"/>
        <v>60</v>
      </c>
      <c r="R76" s="2">
        <f t="shared" si="14"/>
        <v>22.222222222222221</v>
      </c>
      <c r="S76">
        <v>10</v>
      </c>
      <c r="T76">
        <v>10.5</v>
      </c>
      <c r="U76" s="2">
        <f t="shared" si="15"/>
        <v>-0.5</v>
      </c>
      <c r="V76">
        <v>12.5</v>
      </c>
      <c r="W76">
        <v>13</v>
      </c>
      <c r="X76" s="2">
        <f t="shared" si="16"/>
        <v>-0.5</v>
      </c>
      <c r="Y76">
        <v>2650</v>
      </c>
      <c r="Z76">
        <v>84</v>
      </c>
      <c r="AA76">
        <v>63</v>
      </c>
      <c r="AB76">
        <v>268</v>
      </c>
      <c r="AC76">
        <v>1520</v>
      </c>
      <c r="AD76">
        <v>4</v>
      </c>
      <c r="AE76" s="2">
        <f t="shared" si="17"/>
        <v>3</v>
      </c>
      <c r="AF76">
        <v>79</v>
      </c>
      <c r="AG76">
        <v>0.06</v>
      </c>
    </row>
    <row r="77" spans="1:33" x14ac:dyDescent="0.3">
      <c r="A77" s="2">
        <v>76</v>
      </c>
      <c r="B77" t="s">
        <v>90</v>
      </c>
      <c r="C77">
        <v>31</v>
      </c>
      <c r="D77" s="2" t="str">
        <f>LOOKUP(C77,{0,0;16,"16-19";20,"20-24";25,"25-29";30,"30-34";35,"35-39";40,"40-44";45,"45-49";50,"50-54";55,"55-59";60,"60-64"})</f>
        <v>30-34</v>
      </c>
      <c r="E77">
        <v>75</v>
      </c>
      <c r="F77">
        <v>169</v>
      </c>
      <c r="G77">
        <v>14.7</v>
      </c>
      <c r="H77">
        <v>14.3</v>
      </c>
      <c r="I77" s="2">
        <f t="shared" si="9"/>
        <v>0.39999999999999858</v>
      </c>
      <c r="J77" s="10">
        <f t="shared" si="10"/>
        <v>2.7210884353741402</v>
      </c>
      <c r="K77">
        <v>42.1</v>
      </c>
      <c r="L77">
        <v>41.5</v>
      </c>
      <c r="M77" s="2">
        <f t="shared" si="11"/>
        <v>0.60000000000000142</v>
      </c>
      <c r="N77" s="10">
        <f t="shared" si="12"/>
        <v>1.425178147268412</v>
      </c>
      <c r="O77">
        <v>210</v>
      </c>
      <c r="P77">
        <v>165</v>
      </c>
      <c r="Q77" s="2">
        <f t="shared" si="13"/>
        <v>45</v>
      </c>
      <c r="R77" s="2">
        <f t="shared" si="14"/>
        <v>21.428571428571427</v>
      </c>
      <c r="S77">
        <v>10.199999999999999</v>
      </c>
      <c r="T77">
        <v>11</v>
      </c>
      <c r="U77" s="2">
        <f t="shared" si="15"/>
        <v>-0.80000000000000071</v>
      </c>
      <c r="V77">
        <v>15</v>
      </c>
      <c r="W77">
        <v>16.2</v>
      </c>
      <c r="X77" s="2">
        <f t="shared" si="16"/>
        <v>-1.1999999999999993</v>
      </c>
      <c r="Y77">
        <v>2890</v>
      </c>
      <c r="Z77">
        <v>90</v>
      </c>
      <c r="AA77">
        <v>63</v>
      </c>
      <c r="AB77">
        <v>263</v>
      </c>
      <c r="AC77">
        <v>1510</v>
      </c>
      <c r="AD77">
        <v>4.05</v>
      </c>
      <c r="AE77" s="2">
        <f t="shared" si="17"/>
        <v>3</v>
      </c>
      <c r="AF77">
        <v>77.5</v>
      </c>
      <c r="AG77">
        <v>6.4000000000000001E-2</v>
      </c>
    </row>
    <row r="78" spans="1:33" x14ac:dyDescent="0.3">
      <c r="A78" s="2">
        <v>77</v>
      </c>
      <c r="B78" t="s">
        <v>90</v>
      </c>
      <c r="C78">
        <v>29</v>
      </c>
      <c r="D78" s="2" t="str">
        <f>LOOKUP(C78,{0,0;16,"16-19";20,"20-24";25,"25-29";30,"30-34";35,"35-39";40,"40-44";45,"45-49";50,"50-54";55,"55-59";60,"60-64"})</f>
        <v>25-29</v>
      </c>
      <c r="E78">
        <v>80</v>
      </c>
      <c r="F78">
        <v>173</v>
      </c>
      <c r="G78">
        <v>15.4</v>
      </c>
      <c r="H78">
        <v>14.8</v>
      </c>
      <c r="I78" s="2">
        <f t="shared" si="9"/>
        <v>0.59999999999999964</v>
      </c>
      <c r="J78" s="10">
        <f t="shared" si="10"/>
        <v>3.8961038961038938</v>
      </c>
      <c r="K78">
        <v>43.5</v>
      </c>
      <c r="L78">
        <v>42</v>
      </c>
      <c r="M78" s="2">
        <f t="shared" si="11"/>
        <v>1.5</v>
      </c>
      <c r="N78" s="10">
        <f t="shared" si="12"/>
        <v>3.4482758620689653</v>
      </c>
      <c r="O78">
        <v>250</v>
      </c>
      <c r="P78">
        <v>200</v>
      </c>
      <c r="Q78" s="2">
        <f t="shared" si="13"/>
        <v>50</v>
      </c>
      <c r="R78" s="2">
        <f t="shared" si="14"/>
        <v>20</v>
      </c>
      <c r="S78">
        <v>9.5</v>
      </c>
      <c r="T78">
        <v>10.5</v>
      </c>
      <c r="U78" s="2">
        <f t="shared" si="15"/>
        <v>-1</v>
      </c>
      <c r="V78">
        <v>13.5</v>
      </c>
      <c r="W78">
        <v>14</v>
      </c>
      <c r="X78" s="2">
        <f t="shared" si="16"/>
        <v>-0.5</v>
      </c>
      <c r="Y78">
        <v>3000</v>
      </c>
      <c r="Z78">
        <v>84</v>
      </c>
      <c r="AA78">
        <v>70</v>
      </c>
      <c r="AB78">
        <v>270</v>
      </c>
      <c r="AC78">
        <v>1445</v>
      </c>
      <c r="AD78">
        <v>3.8</v>
      </c>
      <c r="AE78" s="2">
        <f t="shared" si="17"/>
        <v>3</v>
      </c>
      <c r="AF78">
        <v>75.8</v>
      </c>
      <c r="AG78">
        <v>0.05</v>
      </c>
    </row>
    <row r="79" spans="1:33" x14ac:dyDescent="0.3">
      <c r="A79" s="2">
        <v>78</v>
      </c>
      <c r="B79" t="s">
        <v>90</v>
      </c>
      <c r="C79">
        <v>27</v>
      </c>
      <c r="D79" s="2" t="str">
        <f>LOOKUP(C79,{0,0;16,"16-19";20,"20-24";25,"25-29";30,"30-34";35,"35-39";40,"40-44";45,"45-49";50,"50-54";55,"55-59";60,"60-64"})</f>
        <v>25-29</v>
      </c>
      <c r="E79">
        <v>72</v>
      </c>
      <c r="F79">
        <v>176</v>
      </c>
      <c r="G79">
        <v>15.1</v>
      </c>
      <c r="H79">
        <v>14.6</v>
      </c>
      <c r="I79" s="2">
        <f t="shared" si="9"/>
        <v>0.5</v>
      </c>
      <c r="J79" s="10">
        <f t="shared" si="10"/>
        <v>3.3112582781456954</v>
      </c>
      <c r="K79">
        <v>40.5</v>
      </c>
      <c r="L79">
        <v>41.2</v>
      </c>
      <c r="M79" s="2">
        <f t="shared" si="11"/>
        <v>-0.70000000000000284</v>
      </c>
      <c r="N79" s="10">
        <f t="shared" si="12"/>
        <v>-1.7283950617284023</v>
      </c>
      <c r="O79">
        <v>185</v>
      </c>
      <c r="P79">
        <v>145</v>
      </c>
      <c r="Q79" s="2">
        <f t="shared" si="13"/>
        <v>40</v>
      </c>
      <c r="R79" s="2">
        <f t="shared" si="14"/>
        <v>21.621621621621621</v>
      </c>
      <c r="S79">
        <v>10.8</v>
      </c>
      <c r="T79">
        <v>10.8</v>
      </c>
      <c r="U79" s="2">
        <f t="shared" si="15"/>
        <v>0</v>
      </c>
      <c r="V79">
        <v>12.2</v>
      </c>
      <c r="W79">
        <v>13.5</v>
      </c>
      <c r="X79" s="2">
        <f t="shared" si="16"/>
        <v>-1.3000000000000007</v>
      </c>
      <c r="Y79">
        <v>3200</v>
      </c>
      <c r="Z79">
        <v>54</v>
      </c>
      <c r="AA79">
        <v>59</v>
      </c>
      <c r="AB79">
        <v>258</v>
      </c>
      <c r="AC79">
        <v>1400</v>
      </c>
      <c r="AD79">
        <v>4.2</v>
      </c>
      <c r="AE79" s="2">
        <f t="shared" si="17"/>
        <v>3</v>
      </c>
      <c r="AF79">
        <v>78.3</v>
      </c>
      <c r="AG79">
        <v>7.0999999999999994E-2</v>
      </c>
    </row>
    <row r="80" spans="1:33" x14ac:dyDescent="0.3">
      <c r="A80" s="2">
        <v>79</v>
      </c>
      <c r="B80" t="s">
        <v>90</v>
      </c>
      <c r="C80">
        <v>32</v>
      </c>
      <c r="D80" s="2" t="str">
        <f>LOOKUP(C80,{0,0;16,"16-19";20,"20-24";25,"25-29";30,"30-34";35,"35-39";40,"40-44";45,"45-49";50,"50-54";55,"55-59";60,"60-64"})</f>
        <v>30-34</v>
      </c>
      <c r="E80">
        <v>66</v>
      </c>
      <c r="F80">
        <v>165</v>
      </c>
      <c r="G80">
        <v>14.9</v>
      </c>
      <c r="H80">
        <v>14.5</v>
      </c>
      <c r="I80" s="2">
        <f t="shared" si="9"/>
        <v>0.40000000000000036</v>
      </c>
      <c r="J80" s="10">
        <f t="shared" si="10"/>
        <v>2.6845637583892641</v>
      </c>
      <c r="K80">
        <v>44.2</v>
      </c>
      <c r="L80">
        <v>43.5</v>
      </c>
      <c r="M80" s="2">
        <f t="shared" si="11"/>
        <v>0.70000000000000284</v>
      </c>
      <c r="N80" s="10">
        <f t="shared" si="12"/>
        <v>1.5837104072398251</v>
      </c>
      <c r="O80">
        <v>220</v>
      </c>
      <c r="P80">
        <v>175</v>
      </c>
      <c r="Q80" s="2">
        <f t="shared" si="13"/>
        <v>45</v>
      </c>
      <c r="R80" s="2">
        <f t="shared" si="14"/>
        <v>20.454545454545457</v>
      </c>
      <c r="S80">
        <v>10</v>
      </c>
      <c r="T80">
        <v>10.1</v>
      </c>
      <c r="U80" s="2">
        <f t="shared" si="15"/>
        <v>-9.9999999999999645E-2</v>
      </c>
      <c r="V80">
        <v>14</v>
      </c>
      <c r="W80">
        <v>14.7</v>
      </c>
      <c r="X80" s="2">
        <f t="shared" si="16"/>
        <v>-0.69999999999999929</v>
      </c>
      <c r="Y80">
        <v>3100</v>
      </c>
      <c r="Z80">
        <v>92</v>
      </c>
      <c r="AA80">
        <v>66</v>
      </c>
      <c r="AB80">
        <v>265</v>
      </c>
      <c r="AC80">
        <v>1550</v>
      </c>
      <c r="AD80">
        <v>4</v>
      </c>
      <c r="AE80" s="2">
        <f t="shared" si="17"/>
        <v>3</v>
      </c>
      <c r="AF80">
        <v>79</v>
      </c>
      <c r="AG80">
        <v>0.06</v>
      </c>
    </row>
    <row r="81" spans="1:33" x14ac:dyDescent="0.3">
      <c r="A81" s="2">
        <v>80</v>
      </c>
      <c r="B81" t="s">
        <v>90</v>
      </c>
      <c r="C81">
        <v>28</v>
      </c>
      <c r="D81" s="2" t="str">
        <f>LOOKUP(C81,{0,0;16,"16-19";20,"20-24";25,"25-29";30,"30-34";35,"35-39";40,"40-44";45,"45-49";50,"50-54";55,"55-59";60,"60-64"})</f>
        <v>25-29</v>
      </c>
      <c r="E81">
        <v>68</v>
      </c>
      <c r="F81">
        <v>171</v>
      </c>
      <c r="G81">
        <v>15</v>
      </c>
      <c r="H81">
        <v>14.2</v>
      </c>
      <c r="I81" s="2">
        <f t="shared" si="9"/>
        <v>0.80000000000000071</v>
      </c>
      <c r="J81" s="10">
        <f t="shared" si="10"/>
        <v>5.3333333333333375</v>
      </c>
      <c r="K81">
        <v>41.5</v>
      </c>
      <c r="L81">
        <v>41</v>
      </c>
      <c r="M81" s="2">
        <f t="shared" si="11"/>
        <v>0.5</v>
      </c>
      <c r="N81" s="10">
        <f t="shared" si="12"/>
        <v>1.2048192771084338</v>
      </c>
      <c r="O81">
        <v>240</v>
      </c>
      <c r="P81">
        <v>160</v>
      </c>
      <c r="Q81" s="2">
        <f t="shared" si="13"/>
        <v>80</v>
      </c>
      <c r="R81" s="2">
        <f t="shared" si="14"/>
        <v>33.333333333333329</v>
      </c>
      <c r="S81">
        <v>9.9</v>
      </c>
      <c r="T81">
        <v>10.4</v>
      </c>
      <c r="U81" s="2">
        <f t="shared" si="15"/>
        <v>-0.5</v>
      </c>
      <c r="V81">
        <v>13.5</v>
      </c>
      <c r="W81">
        <v>13.8</v>
      </c>
      <c r="X81" s="2">
        <f t="shared" si="16"/>
        <v>-0.30000000000000071</v>
      </c>
      <c r="Y81">
        <v>2700</v>
      </c>
      <c r="Z81">
        <v>86</v>
      </c>
      <c r="AA81">
        <v>62</v>
      </c>
      <c r="AB81">
        <v>272</v>
      </c>
      <c r="AC81">
        <v>1600</v>
      </c>
      <c r="AD81">
        <v>3.95</v>
      </c>
      <c r="AE81" s="2">
        <f t="shared" si="17"/>
        <v>3</v>
      </c>
      <c r="AF81">
        <v>76.8</v>
      </c>
      <c r="AG81">
        <v>6.3E-2</v>
      </c>
    </row>
    <row r="82" spans="1:33" x14ac:dyDescent="0.3">
      <c r="A82" s="2">
        <v>81</v>
      </c>
      <c r="B82" t="s">
        <v>90</v>
      </c>
      <c r="C82">
        <v>34</v>
      </c>
      <c r="D82" s="2" t="str">
        <f>LOOKUP(C82,{0,0;16,"16-19";20,"20-24";25,"25-29";30,"30-34";35,"35-39";40,"40-44";45,"45-49";50,"50-54";55,"55-59";60,"60-64"})</f>
        <v>30-34</v>
      </c>
      <c r="E82">
        <v>70</v>
      </c>
      <c r="F82">
        <v>170</v>
      </c>
      <c r="G82">
        <v>14.6</v>
      </c>
      <c r="H82">
        <v>14.7</v>
      </c>
      <c r="I82" s="2">
        <f t="shared" si="9"/>
        <v>-9.9999999999999645E-2</v>
      </c>
      <c r="J82" s="10">
        <f t="shared" si="10"/>
        <v>-0.6849315068493127</v>
      </c>
      <c r="K82">
        <v>43</v>
      </c>
      <c r="L82">
        <v>42.3</v>
      </c>
      <c r="M82" s="2">
        <f t="shared" si="11"/>
        <v>0.70000000000000284</v>
      </c>
      <c r="N82" s="10">
        <f t="shared" si="12"/>
        <v>1.6279069767441927</v>
      </c>
      <c r="O82">
        <v>215</v>
      </c>
      <c r="P82">
        <v>180</v>
      </c>
      <c r="Q82" s="2">
        <f t="shared" si="13"/>
        <v>35</v>
      </c>
      <c r="R82" s="2">
        <f t="shared" si="14"/>
        <v>16.279069767441861</v>
      </c>
      <c r="S82">
        <v>10.1</v>
      </c>
      <c r="T82">
        <v>11</v>
      </c>
      <c r="U82" s="2">
        <f t="shared" si="15"/>
        <v>-0.90000000000000036</v>
      </c>
      <c r="V82">
        <v>12.5</v>
      </c>
      <c r="W82">
        <v>14.2</v>
      </c>
      <c r="X82" s="2">
        <f t="shared" si="16"/>
        <v>-1.6999999999999993</v>
      </c>
      <c r="Y82">
        <v>2950</v>
      </c>
      <c r="Z82">
        <v>86</v>
      </c>
      <c r="AA82">
        <v>68</v>
      </c>
      <c r="AB82">
        <v>265</v>
      </c>
      <c r="AC82">
        <v>1500</v>
      </c>
      <c r="AD82">
        <v>3.8</v>
      </c>
      <c r="AE82" s="2">
        <f t="shared" si="17"/>
        <v>3</v>
      </c>
      <c r="AF82">
        <v>78.5</v>
      </c>
      <c r="AG82">
        <v>5.5E-2</v>
      </c>
    </row>
    <row r="83" spans="1:33" x14ac:dyDescent="0.3">
      <c r="A83" s="2">
        <v>82</v>
      </c>
      <c r="B83" t="s">
        <v>90</v>
      </c>
      <c r="C83">
        <v>29</v>
      </c>
      <c r="D83" s="2" t="str">
        <f>LOOKUP(C83,{0,0;16,"16-19";20,"20-24";25,"25-29";30,"30-34";35,"35-39";40,"40-44";45,"45-49";50,"50-54";55,"55-59";60,"60-64"})</f>
        <v>25-29</v>
      </c>
      <c r="E83">
        <v>65</v>
      </c>
      <c r="F83">
        <v>174</v>
      </c>
      <c r="G83">
        <v>15.3</v>
      </c>
      <c r="H83">
        <v>14.6</v>
      </c>
      <c r="I83" s="2">
        <f t="shared" si="9"/>
        <v>0.70000000000000107</v>
      </c>
      <c r="J83" s="10">
        <f t="shared" si="10"/>
        <v>4.5751633986928173</v>
      </c>
      <c r="K83">
        <v>42.8</v>
      </c>
      <c r="L83">
        <v>42.4</v>
      </c>
      <c r="M83" s="2">
        <f t="shared" si="11"/>
        <v>0.39999999999999858</v>
      </c>
      <c r="N83" s="10">
        <f t="shared" si="12"/>
        <v>0.93457943925233322</v>
      </c>
      <c r="O83">
        <v>230</v>
      </c>
      <c r="P83">
        <v>155</v>
      </c>
      <c r="Q83" s="2">
        <f t="shared" si="13"/>
        <v>75</v>
      </c>
      <c r="R83" s="2">
        <f t="shared" si="14"/>
        <v>32.608695652173914</v>
      </c>
      <c r="S83">
        <v>10.3</v>
      </c>
      <c r="T83">
        <v>10.9</v>
      </c>
      <c r="U83" s="2">
        <f t="shared" si="15"/>
        <v>-0.59999999999999964</v>
      </c>
      <c r="V83">
        <v>14</v>
      </c>
      <c r="W83">
        <v>14.5</v>
      </c>
      <c r="X83" s="2">
        <f t="shared" si="16"/>
        <v>-0.5</v>
      </c>
      <c r="Y83">
        <v>2850</v>
      </c>
      <c r="Z83">
        <v>80</v>
      </c>
      <c r="AA83">
        <v>71</v>
      </c>
      <c r="AB83">
        <v>280</v>
      </c>
      <c r="AC83">
        <v>1480</v>
      </c>
      <c r="AD83">
        <v>4.1500000000000004</v>
      </c>
      <c r="AE83" s="2">
        <f t="shared" si="17"/>
        <v>3</v>
      </c>
      <c r="AF83">
        <v>80</v>
      </c>
      <c r="AG83">
        <v>0.05</v>
      </c>
    </row>
    <row r="84" spans="1:33" x14ac:dyDescent="0.3">
      <c r="A84" s="2">
        <v>83</v>
      </c>
      <c r="B84" t="s">
        <v>90</v>
      </c>
      <c r="C84">
        <v>25</v>
      </c>
      <c r="D84" s="2" t="str">
        <f>LOOKUP(C84,{0,0;16,"16-19";20,"20-24";25,"25-29";30,"30-34";35,"35-39";40,"40-44";45,"45-49";50,"50-54";55,"55-59";60,"60-64"})</f>
        <v>25-29</v>
      </c>
      <c r="E84">
        <v>78</v>
      </c>
      <c r="F84">
        <v>178</v>
      </c>
      <c r="G84">
        <v>14.7</v>
      </c>
      <c r="H84">
        <v>14.8</v>
      </c>
      <c r="I84" s="2">
        <f t="shared" si="9"/>
        <v>-0.10000000000000142</v>
      </c>
      <c r="J84" s="10">
        <f t="shared" si="10"/>
        <v>-0.68027210884354705</v>
      </c>
      <c r="K84">
        <v>44.3</v>
      </c>
      <c r="L84">
        <v>44</v>
      </c>
      <c r="M84" s="2">
        <f t="shared" si="11"/>
        <v>0.29999999999999716</v>
      </c>
      <c r="N84" s="10">
        <f t="shared" si="12"/>
        <v>0.67720090293453095</v>
      </c>
      <c r="O84">
        <v>200</v>
      </c>
      <c r="P84">
        <v>145</v>
      </c>
      <c r="Q84" s="2">
        <f t="shared" si="13"/>
        <v>55</v>
      </c>
      <c r="R84" s="2">
        <f t="shared" si="14"/>
        <v>27.500000000000004</v>
      </c>
      <c r="S84">
        <v>10.199999999999999</v>
      </c>
      <c r="T84">
        <v>11.2</v>
      </c>
      <c r="U84" s="2">
        <f t="shared" si="15"/>
        <v>-1</v>
      </c>
      <c r="V84">
        <v>13</v>
      </c>
      <c r="W84">
        <v>15</v>
      </c>
      <c r="X84" s="2">
        <f t="shared" si="16"/>
        <v>-2</v>
      </c>
      <c r="Y84">
        <v>3150</v>
      </c>
      <c r="Z84">
        <v>96</v>
      </c>
      <c r="AA84">
        <v>65</v>
      </c>
      <c r="AB84">
        <v>275</v>
      </c>
      <c r="AC84">
        <v>1530</v>
      </c>
      <c r="AD84">
        <v>4.0999999999999996</v>
      </c>
      <c r="AE84" s="2">
        <f t="shared" si="17"/>
        <v>3</v>
      </c>
      <c r="AF84">
        <v>77</v>
      </c>
      <c r="AG84">
        <v>6.3E-2</v>
      </c>
    </row>
    <row r="85" spans="1:33" x14ac:dyDescent="0.3">
      <c r="A85" s="2">
        <v>84</v>
      </c>
      <c r="B85" t="s">
        <v>90</v>
      </c>
      <c r="C85">
        <v>33</v>
      </c>
      <c r="D85" s="2" t="str">
        <f>LOOKUP(C85,{0,0;16,"16-19";20,"20-24";25,"25-29";30,"30-34";35,"35-39";40,"40-44";45,"45-49";50,"50-54";55,"55-59";60,"60-64"})</f>
        <v>30-34</v>
      </c>
      <c r="E85">
        <v>74</v>
      </c>
      <c r="F85">
        <v>175</v>
      </c>
      <c r="G85">
        <v>15</v>
      </c>
      <c r="H85">
        <v>14.4</v>
      </c>
      <c r="I85" s="2">
        <f t="shared" si="9"/>
        <v>0.59999999999999964</v>
      </c>
      <c r="J85" s="10">
        <f t="shared" si="10"/>
        <v>3.9999999999999973</v>
      </c>
      <c r="K85">
        <v>41.8</v>
      </c>
      <c r="L85">
        <v>41.7</v>
      </c>
      <c r="M85" s="2">
        <f t="shared" si="11"/>
        <v>9.9999999999994316E-2</v>
      </c>
      <c r="N85" s="10">
        <f t="shared" si="12"/>
        <v>0.23923444976075198</v>
      </c>
      <c r="O85">
        <v>265</v>
      </c>
      <c r="P85">
        <v>215</v>
      </c>
      <c r="Q85" s="2">
        <f t="shared" si="13"/>
        <v>50</v>
      </c>
      <c r="R85" s="2">
        <f t="shared" si="14"/>
        <v>18.867924528301888</v>
      </c>
      <c r="S85">
        <v>9.6999999999999993</v>
      </c>
      <c r="T85">
        <v>10.6</v>
      </c>
      <c r="U85" s="2">
        <f t="shared" si="15"/>
        <v>-0.90000000000000036</v>
      </c>
      <c r="V85">
        <v>12.5</v>
      </c>
      <c r="W85">
        <v>14.3</v>
      </c>
      <c r="X85" s="2">
        <f t="shared" si="16"/>
        <v>-1.8000000000000007</v>
      </c>
      <c r="Y85">
        <v>3300</v>
      </c>
      <c r="Z85">
        <v>110</v>
      </c>
      <c r="AA85">
        <v>60</v>
      </c>
      <c r="AB85">
        <v>265</v>
      </c>
      <c r="AC85">
        <v>1520</v>
      </c>
      <c r="AD85">
        <v>4</v>
      </c>
      <c r="AE85" s="2">
        <f t="shared" si="17"/>
        <v>3</v>
      </c>
      <c r="AF85">
        <v>75.5</v>
      </c>
      <c r="AG85">
        <v>6.6000000000000003E-2</v>
      </c>
    </row>
    <row r="86" spans="1:33" x14ac:dyDescent="0.3">
      <c r="A86" s="2">
        <v>85</v>
      </c>
      <c r="B86" t="s">
        <v>90</v>
      </c>
      <c r="C86">
        <v>30</v>
      </c>
      <c r="D86" s="2" t="str">
        <f>LOOKUP(C86,{0,0;16,"16-19";20,"20-24";25,"25-29";30,"30-34";35,"35-39";40,"40-44";45,"45-49";50,"50-54";55,"55-59";60,"60-64"})</f>
        <v>30-34</v>
      </c>
      <c r="E86">
        <v>80</v>
      </c>
      <c r="F86">
        <v>160</v>
      </c>
      <c r="G86">
        <v>14.8</v>
      </c>
      <c r="H86">
        <v>14</v>
      </c>
      <c r="I86" s="2">
        <f t="shared" si="9"/>
        <v>0.80000000000000071</v>
      </c>
      <c r="J86" s="10">
        <f t="shared" si="10"/>
        <v>5.4054054054054097</v>
      </c>
      <c r="K86">
        <v>40.700000000000003</v>
      </c>
      <c r="L86">
        <v>39.9</v>
      </c>
      <c r="M86" s="2">
        <f t="shared" si="11"/>
        <v>0.80000000000000426</v>
      </c>
      <c r="N86" s="10">
        <f t="shared" si="12"/>
        <v>1.9656019656019759</v>
      </c>
      <c r="O86">
        <v>245</v>
      </c>
      <c r="P86">
        <v>195</v>
      </c>
      <c r="Q86" s="2">
        <f t="shared" si="13"/>
        <v>50</v>
      </c>
      <c r="R86" s="2">
        <f t="shared" si="14"/>
        <v>20.408163265306122</v>
      </c>
      <c r="S86">
        <v>10</v>
      </c>
      <c r="T86">
        <v>10.8</v>
      </c>
      <c r="U86" s="2">
        <f t="shared" si="15"/>
        <v>-0.80000000000000071</v>
      </c>
      <c r="V86">
        <v>14</v>
      </c>
      <c r="W86">
        <v>13.7</v>
      </c>
      <c r="X86" s="2">
        <f t="shared" si="16"/>
        <v>0.30000000000000071</v>
      </c>
      <c r="Y86">
        <v>2650</v>
      </c>
      <c r="Z86">
        <v>92</v>
      </c>
      <c r="AA86">
        <v>57</v>
      </c>
      <c r="AB86">
        <v>259</v>
      </c>
      <c r="AC86">
        <v>1590</v>
      </c>
      <c r="AD86">
        <v>4.25</v>
      </c>
      <c r="AE86" s="2">
        <f t="shared" si="17"/>
        <v>3</v>
      </c>
      <c r="AF86">
        <v>79.3</v>
      </c>
      <c r="AG86">
        <v>7.3999999999999996E-2</v>
      </c>
    </row>
    <row r="87" spans="1:33" x14ac:dyDescent="0.3">
      <c r="A87" s="2">
        <v>86</v>
      </c>
      <c r="B87" t="s">
        <v>90</v>
      </c>
      <c r="C87">
        <v>26</v>
      </c>
      <c r="D87" s="2" t="str">
        <f>LOOKUP(C87,{0,0;16,"16-19";20,"20-24";25,"25-29";30,"30-34";35,"35-39";40,"40-44";45,"45-49";50,"50-54";55,"55-59";60,"60-64"})</f>
        <v>25-29</v>
      </c>
      <c r="E87">
        <v>77</v>
      </c>
      <c r="F87">
        <v>169</v>
      </c>
      <c r="G87">
        <v>14.9</v>
      </c>
      <c r="H87">
        <v>14.6</v>
      </c>
      <c r="I87" s="2">
        <f t="shared" si="9"/>
        <v>0.30000000000000071</v>
      </c>
      <c r="J87" s="10">
        <f t="shared" si="10"/>
        <v>2.013422818791951</v>
      </c>
      <c r="K87">
        <v>43.2</v>
      </c>
      <c r="L87">
        <v>42.6</v>
      </c>
      <c r="M87" s="2">
        <f t="shared" si="11"/>
        <v>0.60000000000000142</v>
      </c>
      <c r="N87" s="10">
        <f t="shared" si="12"/>
        <v>1.3888888888888922</v>
      </c>
      <c r="O87">
        <v>220</v>
      </c>
      <c r="P87">
        <v>190</v>
      </c>
      <c r="Q87" s="2">
        <f t="shared" si="13"/>
        <v>30</v>
      </c>
      <c r="R87" s="2">
        <f t="shared" si="14"/>
        <v>13.636363636363635</v>
      </c>
      <c r="S87">
        <v>9.9</v>
      </c>
      <c r="T87">
        <v>10.4</v>
      </c>
      <c r="U87" s="2">
        <f t="shared" si="15"/>
        <v>-0.5</v>
      </c>
      <c r="V87">
        <v>13.8</v>
      </c>
      <c r="W87">
        <v>14.1</v>
      </c>
      <c r="X87" s="2">
        <f t="shared" si="16"/>
        <v>-0.29999999999999893</v>
      </c>
      <c r="Y87">
        <v>3150</v>
      </c>
      <c r="Z87">
        <v>98</v>
      </c>
      <c r="AA87">
        <v>64</v>
      </c>
      <c r="AB87">
        <v>263</v>
      </c>
      <c r="AC87">
        <v>1575</v>
      </c>
      <c r="AD87">
        <v>4.05</v>
      </c>
      <c r="AE87" s="2">
        <f t="shared" si="17"/>
        <v>3</v>
      </c>
      <c r="AF87">
        <v>77.8</v>
      </c>
      <c r="AG87">
        <v>6.3E-2</v>
      </c>
    </row>
    <row r="88" spans="1:33" x14ac:dyDescent="0.3">
      <c r="A88" s="2">
        <v>87</v>
      </c>
      <c r="B88" t="s">
        <v>90</v>
      </c>
      <c r="C88">
        <v>31</v>
      </c>
      <c r="D88" s="2" t="str">
        <f>LOOKUP(C88,{0,0;16,"16-19";20,"20-24";25,"25-29";30,"30-34";35,"35-39";40,"40-44";45,"45-49";50,"50-54";55,"55-59";60,"60-64"})</f>
        <v>30-34</v>
      </c>
      <c r="E88">
        <v>79</v>
      </c>
      <c r="F88">
        <v>177</v>
      </c>
      <c r="G88">
        <v>14.6</v>
      </c>
      <c r="H88">
        <v>14.9</v>
      </c>
      <c r="I88" s="2">
        <f t="shared" si="9"/>
        <v>-0.30000000000000071</v>
      </c>
      <c r="J88" s="10">
        <f t="shared" si="10"/>
        <v>-2.0547945205479503</v>
      </c>
      <c r="K88">
        <v>42.5</v>
      </c>
      <c r="L88">
        <v>42.8</v>
      </c>
      <c r="M88" s="2">
        <f t="shared" si="11"/>
        <v>-0.29999999999999716</v>
      </c>
      <c r="N88" s="10">
        <f t="shared" si="12"/>
        <v>-0.70588235294116985</v>
      </c>
      <c r="O88">
        <v>255</v>
      </c>
      <c r="P88">
        <v>210</v>
      </c>
      <c r="Q88" s="2">
        <f t="shared" si="13"/>
        <v>45</v>
      </c>
      <c r="R88" s="2">
        <f t="shared" si="14"/>
        <v>17.647058823529413</v>
      </c>
      <c r="S88">
        <v>10</v>
      </c>
      <c r="T88">
        <v>11.1</v>
      </c>
      <c r="U88" s="2">
        <f t="shared" si="15"/>
        <v>-1.0999999999999996</v>
      </c>
      <c r="V88">
        <v>13</v>
      </c>
      <c r="W88">
        <v>14</v>
      </c>
      <c r="X88" s="2">
        <f t="shared" si="16"/>
        <v>-1</v>
      </c>
      <c r="Y88">
        <v>3100</v>
      </c>
      <c r="Z88">
        <v>88</v>
      </c>
      <c r="AA88">
        <v>69</v>
      </c>
      <c r="AB88">
        <v>267</v>
      </c>
      <c r="AC88">
        <v>1540</v>
      </c>
      <c r="AD88">
        <v>3.9</v>
      </c>
      <c r="AE88" s="2">
        <f t="shared" si="17"/>
        <v>3</v>
      </c>
      <c r="AF88">
        <v>76</v>
      </c>
      <c r="AG88">
        <v>5.6000000000000001E-2</v>
      </c>
    </row>
    <row r="89" spans="1:33" x14ac:dyDescent="0.3">
      <c r="A89" s="2">
        <v>88</v>
      </c>
      <c r="B89" t="s">
        <v>90</v>
      </c>
      <c r="C89">
        <v>32</v>
      </c>
      <c r="D89" s="2" t="str">
        <f>LOOKUP(C89,{0,0;16,"16-19";20,"20-24";25,"25-29";30,"30-34";35,"35-39";40,"40-44";45,"45-49";50,"50-54";55,"55-59";60,"60-64"})</f>
        <v>30-34</v>
      </c>
      <c r="E89">
        <v>79</v>
      </c>
      <c r="F89">
        <v>174</v>
      </c>
      <c r="G89">
        <v>14.7</v>
      </c>
      <c r="H89">
        <v>14.5</v>
      </c>
      <c r="I89" s="2">
        <f t="shared" si="9"/>
        <v>0.19999999999999929</v>
      </c>
      <c r="J89" s="10">
        <f t="shared" si="10"/>
        <v>1.3605442176870701</v>
      </c>
      <c r="K89">
        <v>44.7</v>
      </c>
      <c r="L89">
        <v>44</v>
      </c>
      <c r="M89" s="2">
        <f t="shared" si="11"/>
        <v>0.70000000000000284</v>
      </c>
      <c r="N89" s="10">
        <f t="shared" si="12"/>
        <v>1.5659955257270757</v>
      </c>
      <c r="O89">
        <v>230</v>
      </c>
      <c r="P89">
        <v>210</v>
      </c>
      <c r="Q89" s="2">
        <f t="shared" si="13"/>
        <v>20</v>
      </c>
      <c r="R89" s="2">
        <f t="shared" si="14"/>
        <v>8.695652173913043</v>
      </c>
      <c r="S89">
        <v>9.8000000000000007</v>
      </c>
      <c r="T89">
        <v>10.6</v>
      </c>
      <c r="U89" s="2">
        <f t="shared" si="15"/>
        <v>-0.79999999999999893</v>
      </c>
      <c r="V89">
        <v>12.9</v>
      </c>
      <c r="W89">
        <v>14.2</v>
      </c>
      <c r="X89" s="2">
        <f t="shared" si="16"/>
        <v>-1.2999999999999989</v>
      </c>
      <c r="Y89">
        <v>3300</v>
      </c>
      <c r="Z89">
        <v>90</v>
      </c>
      <c r="AA89">
        <v>72</v>
      </c>
      <c r="AB89">
        <v>260</v>
      </c>
      <c r="AC89">
        <v>1450</v>
      </c>
      <c r="AD89">
        <v>4.3</v>
      </c>
      <c r="AE89" s="2">
        <f t="shared" si="17"/>
        <v>3</v>
      </c>
      <c r="AF89">
        <v>78.7</v>
      </c>
      <c r="AG89">
        <v>5.8999999999999997E-2</v>
      </c>
    </row>
    <row r="90" spans="1:33" x14ac:dyDescent="0.3">
      <c r="A90" s="2">
        <v>89</v>
      </c>
      <c r="B90" t="s">
        <v>90</v>
      </c>
      <c r="C90">
        <v>28</v>
      </c>
      <c r="D90" s="2" t="str">
        <f>LOOKUP(C90,{0,0;16,"16-19";20,"20-24";25,"25-29";30,"30-34";35,"35-39";40,"40-44";45,"45-49";50,"50-54";55,"55-59";60,"60-64"})</f>
        <v>25-29</v>
      </c>
      <c r="E90">
        <v>82</v>
      </c>
      <c r="F90">
        <v>182</v>
      </c>
      <c r="G90">
        <v>15.2</v>
      </c>
      <c r="H90">
        <v>14.1</v>
      </c>
      <c r="I90" s="2">
        <f t="shared" si="9"/>
        <v>1.0999999999999996</v>
      </c>
      <c r="J90" s="10">
        <f t="shared" si="10"/>
        <v>7.2368421052631557</v>
      </c>
      <c r="K90">
        <v>41</v>
      </c>
      <c r="L90">
        <v>40.299999999999997</v>
      </c>
      <c r="M90" s="2">
        <f t="shared" si="11"/>
        <v>0.70000000000000284</v>
      </c>
      <c r="N90" s="10">
        <f t="shared" si="12"/>
        <v>1.7073170731707388</v>
      </c>
      <c r="O90">
        <v>280</v>
      </c>
      <c r="P90">
        <v>230</v>
      </c>
      <c r="Q90" s="2">
        <f t="shared" si="13"/>
        <v>50</v>
      </c>
      <c r="R90" s="2">
        <f t="shared" si="14"/>
        <v>17.857142857142858</v>
      </c>
      <c r="S90">
        <v>9.8000000000000007</v>
      </c>
      <c r="T90">
        <v>10.5</v>
      </c>
      <c r="U90" s="2">
        <f t="shared" si="15"/>
        <v>-0.69999999999999929</v>
      </c>
      <c r="V90">
        <v>13</v>
      </c>
      <c r="W90">
        <v>13.9</v>
      </c>
      <c r="X90" s="2">
        <f t="shared" si="16"/>
        <v>-0.90000000000000036</v>
      </c>
      <c r="Y90">
        <v>3250</v>
      </c>
      <c r="Z90">
        <v>106</v>
      </c>
      <c r="AA90">
        <v>61</v>
      </c>
      <c r="AB90">
        <v>275</v>
      </c>
      <c r="AC90">
        <v>1600</v>
      </c>
      <c r="AD90">
        <v>4.0999999999999996</v>
      </c>
      <c r="AE90" s="2">
        <f t="shared" si="17"/>
        <v>3</v>
      </c>
      <c r="AF90">
        <v>79.2</v>
      </c>
      <c r="AG90">
        <v>6.7000000000000004E-2</v>
      </c>
    </row>
    <row r="91" spans="1:33" x14ac:dyDescent="0.3">
      <c r="A91" s="2">
        <v>90</v>
      </c>
      <c r="B91" t="s">
        <v>90</v>
      </c>
      <c r="C91">
        <v>30</v>
      </c>
      <c r="D91" s="2" t="str">
        <f>LOOKUP(C91,{0,0;16,"16-19";20,"20-24";25,"25-29";30,"30-34";35,"35-39";40,"40-44";45,"45-49";50,"50-54";55,"55-59";60,"60-64"})</f>
        <v>30-34</v>
      </c>
      <c r="E91">
        <v>75</v>
      </c>
      <c r="F91">
        <v>168</v>
      </c>
      <c r="G91">
        <v>14.6</v>
      </c>
      <c r="H91">
        <v>14</v>
      </c>
      <c r="I91" s="2">
        <f t="shared" si="9"/>
        <v>0.59999999999999964</v>
      </c>
      <c r="J91" s="10">
        <f t="shared" si="10"/>
        <v>4.1095890410958882</v>
      </c>
      <c r="K91">
        <v>42.1</v>
      </c>
      <c r="L91">
        <v>41</v>
      </c>
      <c r="M91" s="2">
        <f t="shared" si="11"/>
        <v>1.1000000000000014</v>
      </c>
      <c r="N91" s="10">
        <f t="shared" si="12"/>
        <v>2.6128266033254191</v>
      </c>
      <c r="O91">
        <v>230</v>
      </c>
      <c r="P91">
        <v>190</v>
      </c>
      <c r="Q91" s="2">
        <f t="shared" si="13"/>
        <v>40</v>
      </c>
      <c r="R91" s="2">
        <f t="shared" si="14"/>
        <v>17.391304347826086</v>
      </c>
      <c r="S91">
        <v>9.8000000000000007</v>
      </c>
      <c r="T91">
        <v>10.7</v>
      </c>
      <c r="U91" s="2">
        <f t="shared" si="15"/>
        <v>-0.89999999999999858</v>
      </c>
      <c r="V91">
        <v>13</v>
      </c>
      <c r="W91">
        <v>14</v>
      </c>
      <c r="X91" s="2">
        <f t="shared" si="16"/>
        <v>-1</v>
      </c>
      <c r="Y91">
        <v>2900</v>
      </c>
      <c r="Z91">
        <v>92</v>
      </c>
      <c r="AA91">
        <v>62</v>
      </c>
      <c r="AB91">
        <v>265</v>
      </c>
      <c r="AC91">
        <v>1500</v>
      </c>
      <c r="AD91">
        <v>4</v>
      </c>
      <c r="AE91" s="2">
        <f t="shared" si="17"/>
        <v>3</v>
      </c>
      <c r="AF91">
        <v>78</v>
      </c>
      <c r="AG91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A6D8-8AB6-4743-974B-649446914B7B}">
  <dimension ref="A1:AF91"/>
  <sheetViews>
    <sheetView workbookViewId="0">
      <selection activeCell="B1" sqref="B1"/>
    </sheetView>
  </sheetViews>
  <sheetFormatPr defaultRowHeight="14.4" x14ac:dyDescent="0.3"/>
  <cols>
    <col min="3" max="5" width="8.88671875" style="2"/>
  </cols>
  <sheetData>
    <row r="1" spans="1:32" ht="57.6" x14ac:dyDescent="0.3">
      <c r="A1" s="4" t="s">
        <v>40</v>
      </c>
      <c r="B1" s="4" t="s">
        <v>42</v>
      </c>
      <c r="C1" s="4"/>
      <c r="D1" s="4"/>
      <c r="E1" s="4"/>
      <c r="F1" s="4" t="s">
        <v>19</v>
      </c>
      <c r="G1" s="4" t="s">
        <v>91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92</v>
      </c>
      <c r="M1" s="4" t="s">
        <v>24</v>
      </c>
      <c r="N1" s="4" t="s">
        <v>25</v>
      </c>
      <c r="O1" s="4" t="s">
        <v>93</v>
      </c>
      <c r="P1" s="4" t="s">
        <v>26</v>
      </c>
      <c r="Q1" s="4" t="s">
        <v>27</v>
      </c>
      <c r="R1" s="4" t="s">
        <v>94</v>
      </c>
      <c r="S1" s="4" t="s">
        <v>28</v>
      </c>
      <c r="T1" s="4" t="s">
        <v>29</v>
      </c>
      <c r="U1" s="4" t="s">
        <v>95</v>
      </c>
      <c r="V1" s="4" t="s">
        <v>30</v>
      </c>
      <c r="W1" s="4" t="s">
        <v>31</v>
      </c>
      <c r="X1" s="4" t="s">
        <v>96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</row>
    <row r="2" spans="1:32" x14ac:dyDescent="0.3">
      <c r="A2" s="2">
        <v>1</v>
      </c>
      <c r="B2" s="2" t="s">
        <v>43</v>
      </c>
      <c r="F2" s="2">
        <v>30</v>
      </c>
      <c r="G2" s="2" t="str">
        <f>LOOKUP(F2,{0,0;16,"16-19";20,"20-24";25,"25-29";30,"30-34";35,"35-39";40,"40-44";45,"45-49";50,"50-54";55,"55-59";60,"60-64"})</f>
        <v>30-34</v>
      </c>
      <c r="H2" s="2">
        <v>98</v>
      </c>
      <c r="I2" s="2">
        <v>170</v>
      </c>
      <c r="J2" s="2">
        <v>14.7</v>
      </c>
      <c r="K2" s="2">
        <v>14.1</v>
      </c>
      <c r="L2" s="2">
        <f>J2-K2</f>
        <v>0.59999999999999964</v>
      </c>
      <c r="M2" s="2">
        <v>41.7</v>
      </c>
      <c r="N2" s="2">
        <v>40</v>
      </c>
      <c r="O2" s="2">
        <f>M2-N2</f>
        <v>1.7000000000000028</v>
      </c>
      <c r="P2" s="2">
        <v>214</v>
      </c>
      <c r="Q2" s="2">
        <v>160</v>
      </c>
      <c r="R2" s="2">
        <f>P2-Q2</f>
        <v>54</v>
      </c>
      <c r="S2" s="2">
        <v>11.2</v>
      </c>
      <c r="T2" s="2">
        <v>11.3</v>
      </c>
      <c r="U2" s="2">
        <f>S2-T2</f>
        <v>-0.10000000000000142</v>
      </c>
      <c r="V2" s="2">
        <v>13.3</v>
      </c>
      <c r="W2" s="2">
        <v>14.8</v>
      </c>
      <c r="X2" s="2">
        <f>V2-W2</f>
        <v>-1.5</v>
      </c>
      <c r="Y2" s="2">
        <v>2466</v>
      </c>
      <c r="Z2" s="2">
        <v>100</v>
      </c>
      <c r="AA2" s="2">
        <v>47</v>
      </c>
      <c r="AB2" s="2">
        <v>241</v>
      </c>
      <c r="AC2" s="2">
        <v>1049</v>
      </c>
      <c r="AD2" s="2">
        <v>2.52</v>
      </c>
      <c r="AE2" s="2">
        <v>54.7</v>
      </c>
      <c r="AF2" s="2">
        <v>5.2999999999999999E-2</v>
      </c>
    </row>
    <row r="3" spans="1:32" x14ac:dyDescent="0.3">
      <c r="A3" s="2">
        <v>2</v>
      </c>
      <c r="B3" s="2" t="s">
        <v>43</v>
      </c>
      <c r="F3" s="2">
        <v>39</v>
      </c>
      <c r="G3" s="2" t="str">
        <f>LOOKUP(F3,{0,0;16,"16-19";20,"20-24";25,"25-29";30,"30-34";35,"35-39";40,"40-44";45,"45-49";50,"50-54";55,"55-59";60,"60-64"})</f>
        <v>35-39</v>
      </c>
      <c r="H3" s="2">
        <v>84</v>
      </c>
      <c r="I3" s="2">
        <v>172</v>
      </c>
      <c r="J3" s="2">
        <v>16</v>
      </c>
      <c r="K3" s="2">
        <v>15.5</v>
      </c>
      <c r="L3" s="2">
        <f t="shared" ref="L3:L66" si="0">J3-K3</f>
        <v>0.5</v>
      </c>
      <c r="M3" s="2">
        <v>46</v>
      </c>
      <c r="N3" s="2">
        <v>44.7</v>
      </c>
      <c r="O3" s="2">
        <f t="shared" ref="O3:O66" si="1">M3-N3</f>
        <v>1.2999999999999972</v>
      </c>
      <c r="P3" s="2">
        <v>263</v>
      </c>
      <c r="Q3" s="2">
        <v>190</v>
      </c>
      <c r="R3" s="2">
        <f t="shared" ref="R3:R66" si="2">P3-Q3</f>
        <v>73</v>
      </c>
      <c r="S3" s="2">
        <v>11</v>
      </c>
      <c r="T3" s="2">
        <v>10.7</v>
      </c>
      <c r="U3" s="2">
        <f t="shared" ref="U3:U66" si="3">S3-T3</f>
        <v>0.30000000000000071</v>
      </c>
      <c r="V3" s="2">
        <v>15</v>
      </c>
      <c r="W3" s="2">
        <v>13.6</v>
      </c>
      <c r="X3" s="2">
        <f t="shared" ref="X3:X66" si="4">V3-W3</f>
        <v>1.4000000000000004</v>
      </c>
      <c r="Y3" s="2">
        <v>2377</v>
      </c>
      <c r="Z3" s="2">
        <v>100</v>
      </c>
      <c r="AA3" s="2">
        <v>45</v>
      </c>
      <c r="AB3" s="2">
        <v>241</v>
      </c>
      <c r="AC3" s="2">
        <v>805</v>
      </c>
      <c r="AD3" s="2">
        <v>1.94</v>
      </c>
      <c r="AE3" s="2">
        <v>36.1</v>
      </c>
      <c r="AF3" s="2">
        <v>4.2999999999999997E-2</v>
      </c>
    </row>
    <row r="4" spans="1:32" x14ac:dyDescent="0.3">
      <c r="A4" s="2">
        <v>3</v>
      </c>
      <c r="B4" s="2" t="s">
        <v>43</v>
      </c>
      <c r="F4" s="2">
        <v>22</v>
      </c>
      <c r="G4" s="2" t="str">
        <f>LOOKUP(F4,{0,0;16,"16-19";20,"20-24";25,"25-29";30,"30-34";35,"35-39";40,"40-44";45,"45-49";50,"50-54";55,"55-59";60,"60-64"})</f>
        <v>20-24</v>
      </c>
      <c r="H4" s="2">
        <v>77</v>
      </c>
      <c r="I4" s="2">
        <v>168</v>
      </c>
      <c r="J4" s="2">
        <v>14.5</v>
      </c>
      <c r="K4" s="2">
        <v>13.8</v>
      </c>
      <c r="L4" s="2">
        <f t="shared" si="0"/>
        <v>0.69999999999999929</v>
      </c>
      <c r="M4" s="2">
        <v>41.8</v>
      </c>
      <c r="N4" s="2">
        <v>40.200000000000003</v>
      </c>
      <c r="O4" s="2">
        <f t="shared" si="1"/>
        <v>1.5999999999999943</v>
      </c>
      <c r="P4" s="2">
        <v>197</v>
      </c>
      <c r="Q4" s="2">
        <v>138</v>
      </c>
      <c r="R4" s="2">
        <f t="shared" si="2"/>
        <v>59</v>
      </c>
      <c r="S4" s="2">
        <v>12.8</v>
      </c>
      <c r="T4" s="2">
        <v>10.7</v>
      </c>
      <c r="U4" s="2">
        <f t="shared" si="3"/>
        <v>2.1000000000000014</v>
      </c>
      <c r="V4" s="2">
        <v>19.3</v>
      </c>
      <c r="W4" s="2">
        <v>16.7</v>
      </c>
      <c r="X4" s="2">
        <f t="shared" si="4"/>
        <v>2.6000000000000014</v>
      </c>
      <c r="Y4" s="2">
        <v>3090</v>
      </c>
      <c r="Z4" s="2">
        <v>117</v>
      </c>
      <c r="AA4" s="2">
        <v>61</v>
      </c>
      <c r="AB4" s="2">
        <v>237</v>
      </c>
      <c r="AC4" s="2">
        <v>886</v>
      </c>
      <c r="AD4" s="2">
        <v>2.09</v>
      </c>
      <c r="AE4" s="2">
        <v>40.380000000000003</v>
      </c>
      <c r="AF4" s="2">
        <v>3.4000000000000002E-2</v>
      </c>
    </row>
    <row r="5" spans="1:32" x14ac:dyDescent="0.3">
      <c r="A5" s="2">
        <v>4</v>
      </c>
      <c r="B5" s="2" t="s">
        <v>43</v>
      </c>
      <c r="F5" s="2">
        <v>24</v>
      </c>
      <c r="G5" s="2" t="str">
        <f>LOOKUP(F5,{0,0;16,"16-19";20,"20-24";25,"25-29";30,"30-34";35,"35-39";40,"40-44";45,"45-49";50,"50-54";55,"55-59";60,"60-64"})</f>
        <v>20-24</v>
      </c>
      <c r="H5" s="2">
        <v>100</v>
      </c>
      <c r="I5" s="2">
        <v>174</v>
      </c>
      <c r="J5" s="2">
        <v>15.6</v>
      </c>
      <c r="K5" s="2">
        <v>15.5</v>
      </c>
      <c r="L5" s="2">
        <f t="shared" si="0"/>
        <v>9.9999999999999645E-2</v>
      </c>
      <c r="M5" s="2">
        <v>45.2</v>
      </c>
      <c r="N5" s="2">
        <v>45.1</v>
      </c>
      <c r="O5" s="2">
        <f t="shared" si="1"/>
        <v>0.10000000000000142</v>
      </c>
      <c r="P5" s="2">
        <v>469</v>
      </c>
      <c r="Q5" s="2">
        <v>338</v>
      </c>
      <c r="R5" s="2">
        <f t="shared" si="2"/>
        <v>131</v>
      </c>
      <c r="S5" s="2">
        <v>7.9</v>
      </c>
      <c r="T5" s="2">
        <v>8.1999999999999993</v>
      </c>
      <c r="U5" s="2">
        <f t="shared" si="3"/>
        <v>-0.29999999999999893</v>
      </c>
      <c r="V5" s="2">
        <v>8.8000000000000007</v>
      </c>
      <c r="W5" s="2">
        <v>9.5</v>
      </c>
      <c r="X5" s="2">
        <f t="shared" si="4"/>
        <v>-0.69999999999999929</v>
      </c>
      <c r="Y5" s="2">
        <v>1697</v>
      </c>
      <c r="Z5" s="2">
        <v>100</v>
      </c>
      <c r="AA5" s="2">
        <v>33</v>
      </c>
      <c r="AB5" s="2">
        <v>239</v>
      </c>
      <c r="AC5" s="2">
        <v>1200</v>
      </c>
      <c r="AD5" s="2">
        <v>2.86</v>
      </c>
      <c r="AE5" s="2">
        <v>41.77</v>
      </c>
      <c r="AF5" s="2">
        <v>8.5999999999999993E-2</v>
      </c>
    </row>
    <row r="6" spans="1:32" x14ac:dyDescent="0.3">
      <c r="A6" s="2">
        <v>5</v>
      </c>
      <c r="B6" s="2" t="s">
        <v>43</v>
      </c>
      <c r="F6" s="2">
        <v>32</v>
      </c>
      <c r="G6" s="2" t="str">
        <f>LOOKUP(F6,{0,0;16,"16-19";20,"20-24";25,"25-29";30,"30-34";35,"35-39";40,"40-44";45,"45-49";50,"50-54";55,"55-59";60,"60-64"})</f>
        <v>30-34</v>
      </c>
      <c r="H6" s="2">
        <v>77</v>
      </c>
      <c r="I6" s="2">
        <v>175</v>
      </c>
      <c r="J6" s="2">
        <v>13.1</v>
      </c>
      <c r="K6" s="2">
        <v>12.7</v>
      </c>
      <c r="L6" s="2">
        <f t="shared" si="0"/>
        <v>0.40000000000000036</v>
      </c>
      <c r="M6" s="2">
        <v>41.4</v>
      </c>
      <c r="N6" s="2">
        <v>40.1</v>
      </c>
      <c r="O6" s="2">
        <f t="shared" si="1"/>
        <v>1.2999999999999972</v>
      </c>
      <c r="P6" s="2">
        <v>271</v>
      </c>
      <c r="Q6" s="2">
        <v>219</v>
      </c>
      <c r="R6" s="2">
        <f t="shared" si="2"/>
        <v>52</v>
      </c>
      <c r="S6" s="2">
        <v>9.5</v>
      </c>
      <c r="T6" s="2">
        <v>10.199999999999999</v>
      </c>
      <c r="U6" s="2">
        <f t="shared" si="3"/>
        <v>-0.69999999999999929</v>
      </c>
      <c r="V6" s="2">
        <v>10.7</v>
      </c>
      <c r="W6" s="2">
        <v>12.3</v>
      </c>
      <c r="X6" s="2">
        <f t="shared" si="4"/>
        <v>-1.6000000000000014</v>
      </c>
      <c r="Y6" s="2">
        <v>2257</v>
      </c>
      <c r="Z6" s="2">
        <v>66</v>
      </c>
      <c r="AA6" s="2">
        <v>41</v>
      </c>
      <c r="AB6" s="2">
        <v>241</v>
      </c>
      <c r="AC6" s="2">
        <v>1000</v>
      </c>
      <c r="AD6" s="2">
        <v>2.41</v>
      </c>
      <c r="AE6" s="2">
        <v>43.58</v>
      </c>
      <c r="AF6" s="2">
        <v>5.8000000000000003E-2</v>
      </c>
    </row>
    <row r="7" spans="1:32" x14ac:dyDescent="0.3">
      <c r="A7" s="2">
        <v>6</v>
      </c>
      <c r="B7" s="2" t="s">
        <v>43</v>
      </c>
      <c r="F7" s="2">
        <v>30</v>
      </c>
      <c r="G7" s="2" t="str">
        <f>LOOKUP(F7,{0,0;16,"16-19";20,"20-24";25,"25-29";30,"30-34";35,"35-39";40,"40-44";45,"45-49";50,"50-54";55,"55-59";60,"60-64"})</f>
        <v>30-34</v>
      </c>
      <c r="H7" s="2">
        <v>77</v>
      </c>
      <c r="I7" s="2">
        <v>174</v>
      </c>
      <c r="J7" s="2">
        <v>12.9</v>
      </c>
      <c r="K7" s="2">
        <v>12.1</v>
      </c>
      <c r="L7" s="2">
        <f t="shared" si="0"/>
        <v>0.80000000000000071</v>
      </c>
      <c r="M7" s="2">
        <v>41.6</v>
      </c>
      <c r="N7" s="2">
        <v>38</v>
      </c>
      <c r="O7" s="2">
        <f t="shared" si="1"/>
        <v>3.6000000000000014</v>
      </c>
      <c r="P7" s="2">
        <v>234</v>
      </c>
      <c r="Q7" s="2">
        <v>170</v>
      </c>
      <c r="R7" s="2">
        <f t="shared" si="2"/>
        <v>64</v>
      </c>
      <c r="S7" s="2">
        <v>10.8</v>
      </c>
      <c r="T7" s="2">
        <v>11</v>
      </c>
      <c r="U7" s="2">
        <f t="shared" si="3"/>
        <v>-0.19999999999999929</v>
      </c>
      <c r="V7" s="2">
        <v>13.2</v>
      </c>
      <c r="W7" s="2">
        <v>13.6</v>
      </c>
      <c r="X7" s="2">
        <f t="shared" si="4"/>
        <v>-0.40000000000000036</v>
      </c>
      <c r="Y7" s="2">
        <v>2661</v>
      </c>
      <c r="Z7" s="2">
        <v>110</v>
      </c>
      <c r="AA7" s="2">
        <v>49</v>
      </c>
      <c r="AB7" s="2">
        <v>240</v>
      </c>
      <c r="AC7" s="2">
        <v>1780</v>
      </c>
      <c r="AD7" s="2">
        <v>4.2699999999999996</v>
      </c>
      <c r="AE7" s="2">
        <v>79.44</v>
      </c>
      <c r="AF7" s="2">
        <v>8.6999999999999994E-2</v>
      </c>
    </row>
    <row r="8" spans="1:32" x14ac:dyDescent="0.3">
      <c r="A8" s="2">
        <v>7</v>
      </c>
      <c r="B8" s="2" t="s">
        <v>43</v>
      </c>
      <c r="F8" s="2">
        <v>30</v>
      </c>
      <c r="G8" s="2" t="str">
        <f>LOOKUP(F8,{0,0;16,"16-19";20,"20-24";25,"25-29";30,"30-34";35,"35-39";40,"40-44";45,"45-49";50,"50-54";55,"55-59";60,"60-64"})</f>
        <v>30-34</v>
      </c>
      <c r="H8" s="2">
        <v>67</v>
      </c>
      <c r="I8" s="2">
        <v>170</v>
      </c>
      <c r="J8" s="2">
        <v>14.3</v>
      </c>
      <c r="K8" s="2">
        <v>13.9</v>
      </c>
      <c r="L8" s="2">
        <f t="shared" si="0"/>
        <v>0.40000000000000036</v>
      </c>
      <c r="M8" s="2">
        <v>45</v>
      </c>
      <c r="N8" s="2">
        <v>43.5</v>
      </c>
      <c r="O8" s="2">
        <f t="shared" si="1"/>
        <v>1.5</v>
      </c>
      <c r="P8" s="2">
        <v>236</v>
      </c>
      <c r="Q8" s="2">
        <v>183</v>
      </c>
      <c r="R8" s="2">
        <f t="shared" si="2"/>
        <v>53</v>
      </c>
      <c r="S8" s="2">
        <v>11.2</v>
      </c>
      <c r="T8" s="2">
        <v>11.4</v>
      </c>
      <c r="U8" s="2">
        <f t="shared" si="3"/>
        <v>-0.20000000000000107</v>
      </c>
      <c r="V8" s="2">
        <v>13.6</v>
      </c>
      <c r="W8" s="2">
        <v>14.6</v>
      </c>
      <c r="X8" s="2">
        <f t="shared" si="4"/>
        <v>-1</v>
      </c>
      <c r="Y8" s="2">
        <v>2660</v>
      </c>
      <c r="Z8" s="2">
        <v>90</v>
      </c>
      <c r="AA8" s="2">
        <v>66</v>
      </c>
      <c r="AB8" s="2">
        <v>241</v>
      </c>
      <c r="AC8" s="2">
        <v>800</v>
      </c>
      <c r="AD8" s="2">
        <v>1.92</v>
      </c>
      <c r="AE8" s="2">
        <v>34.549999999999997</v>
      </c>
      <c r="AF8" s="2">
        <v>2.9000000000000001E-2</v>
      </c>
    </row>
    <row r="9" spans="1:32" x14ac:dyDescent="0.3">
      <c r="A9" s="2">
        <v>8</v>
      </c>
      <c r="B9" s="2" t="s">
        <v>43</v>
      </c>
      <c r="F9" s="2">
        <v>24</v>
      </c>
      <c r="G9" s="2" t="str">
        <f>LOOKUP(F9,{0,0;16,"16-19";20,"20-24";25,"25-29";30,"30-34";35,"35-39";40,"40-44";45,"45-49";50,"50-54";55,"55-59";60,"60-64"})</f>
        <v>20-24</v>
      </c>
      <c r="H9" s="2">
        <v>74</v>
      </c>
      <c r="I9" s="2">
        <v>170</v>
      </c>
      <c r="J9" s="2">
        <v>13.9</v>
      </c>
      <c r="K9" s="2">
        <v>13.4</v>
      </c>
      <c r="L9" s="2">
        <f t="shared" si="0"/>
        <v>0.5</v>
      </c>
      <c r="M9" s="2">
        <v>43.4</v>
      </c>
      <c r="N9" s="2">
        <v>41</v>
      </c>
      <c r="O9" s="2">
        <f t="shared" si="1"/>
        <v>2.3999999999999986</v>
      </c>
      <c r="P9" s="2">
        <v>216</v>
      </c>
      <c r="Q9" s="2">
        <v>140</v>
      </c>
      <c r="R9" s="2">
        <f t="shared" si="2"/>
        <v>76</v>
      </c>
      <c r="S9" s="2">
        <v>12.1</v>
      </c>
      <c r="T9" s="2">
        <v>12.6</v>
      </c>
      <c r="U9" s="2">
        <f t="shared" si="3"/>
        <v>-0.5</v>
      </c>
      <c r="V9" s="2">
        <v>15.2</v>
      </c>
      <c r="W9" s="2">
        <v>18.2</v>
      </c>
      <c r="X9" s="2">
        <f t="shared" si="4"/>
        <v>-3</v>
      </c>
      <c r="Y9" s="2">
        <v>2826</v>
      </c>
      <c r="Z9" s="2">
        <v>117</v>
      </c>
      <c r="AA9" s="2">
        <v>53</v>
      </c>
      <c r="AB9" s="2">
        <v>241</v>
      </c>
      <c r="AC9" s="2">
        <v>1167</v>
      </c>
      <c r="AD9" s="2">
        <v>2.81</v>
      </c>
      <c r="AE9" s="2">
        <v>55.86</v>
      </c>
      <c r="AF9" s="2">
        <v>5.2999999999999999E-2</v>
      </c>
    </row>
    <row r="10" spans="1:32" x14ac:dyDescent="0.3">
      <c r="A10" s="2">
        <v>9</v>
      </c>
      <c r="B10" s="2" t="s">
        <v>43</v>
      </c>
      <c r="F10" s="2">
        <v>22</v>
      </c>
      <c r="G10" s="2" t="str">
        <f>LOOKUP(F10,{0,0;16,"16-19";20,"20-24";25,"25-29";30,"30-34";35,"35-39";40,"40-44";45,"45-49";50,"50-54";55,"55-59";60,"60-64"})</f>
        <v>20-24</v>
      </c>
      <c r="H10" s="2">
        <v>65</v>
      </c>
      <c r="I10" s="2">
        <v>172</v>
      </c>
      <c r="J10" s="2">
        <v>13.8</v>
      </c>
      <c r="K10" s="2">
        <v>13.7</v>
      </c>
      <c r="L10" s="2">
        <f t="shared" si="0"/>
        <v>0.10000000000000142</v>
      </c>
      <c r="M10" s="2">
        <v>44.4</v>
      </c>
      <c r="N10" s="2">
        <v>43.8</v>
      </c>
      <c r="O10" s="2">
        <f t="shared" si="1"/>
        <v>0.60000000000000142</v>
      </c>
      <c r="P10" s="2">
        <v>247</v>
      </c>
      <c r="Q10" s="2">
        <v>173</v>
      </c>
      <c r="R10" s="2">
        <f t="shared" si="2"/>
        <v>74</v>
      </c>
      <c r="S10" s="2">
        <v>12</v>
      </c>
      <c r="T10" s="2">
        <v>12.4</v>
      </c>
      <c r="U10" s="2">
        <f t="shared" si="3"/>
        <v>-0.40000000000000036</v>
      </c>
      <c r="V10" s="2">
        <v>14.8</v>
      </c>
      <c r="W10" s="2">
        <v>16.7</v>
      </c>
      <c r="X10" s="2">
        <f t="shared" si="4"/>
        <v>-1.8999999999999986</v>
      </c>
      <c r="Y10" s="2">
        <v>2651</v>
      </c>
      <c r="Z10" s="2">
        <v>100</v>
      </c>
      <c r="AA10" s="2">
        <v>56</v>
      </c>
      <c r="AB10" s="2">
        <v>242</v>
      </c>
      <c r="AC10" s="2">
        <v>869</v>
      </c>
      <c r="AD10" s="2">
        <v>2.1</v>
      </c>
      <c r="AE10" s="2">
        <v>37.72</v>
      </c>
      <c r="AF10" s="2">
        <v>3.6999999999999998E-2</v>
      </c>
    </row>
    <row r="11" spans="1:32" x14ac:dyDescent="0.3">
      <c r="A11" s="2">
        <v>10</v>
      </c>
      <c r="B11" s="2" t="s">
        <v>43</v>
      </c>
      <c r="F11" s="2">
        <v>35</v>
      </c>
      <c r="G11" s="2" t="str">
        <f>LOOKUP(F11,{0,0;16,"16-19";20,"20-24";25,"25-29";30,"30-34";35,"35-39";40,"40-44";45,"45-49";50,"50-54";55,"55-59";60,"60-64"})</f>
        <v>35-39</v>
      </c>
      <c r="H11" s="2">
        <v>101</v>
      </c>
      <c r="I11" s="2">
        <v>180</v>
      </c>
      <c r="J11" s="2">
        <v>15.4</v>
      </c>
      <c r="K11" s="2">
        <v>14.8</v>
      </c>
      <c r="L11" s="2">
        <f t="shared" si="0"/>
        <v>0.59999999999999964</v>
      </c>
      <c r="M11" s="2">
        <v>48.8</v>
      </c>
      <c r="N11" s="2">
        <v>46.4</v>
      </c>
      <c r="O11" s="2">
        <f t="shared" si="1"/>
        <v>2.3999999999999986</v>
      </c>
      <c r="P11" s="2">
        <v>376</v>
      </c>
      <c r="Q11" s="2">
        <v>308</v>
      </c>
      <c r="R11" s="2">
        <f t="shared" si="2"/>
        <v>68</v>
      </c>
      <c r="S11" s="2">
        <v>9.9</v>
      </c>
      <c r="T11" s="2">
        <v>10.3</v>
      </c>
      <c r="U11" s="2">
        <f t="shared" si="3"/>
        <v>-0.40000000000000036</v>
      </c>
      <c r="V11" s="2">
        <v>11.4</v>
      </c>
      <c r="W11" s="2">
        <v>11.2</v>
      </c>
      <c r="X11" s="2">
        <f t="shared" si="4"/>
        <v>0.20000000000000107</v>
      </c>
      <c r="Y11" s="2">
        <v>1953</v>
      </c>
      <c r="Z11" s="2">
        <v>103</v>
      </c>
      <c r="AA11" s="2">
        <v>42</v>
      </c>
      <c r="AB11" s="2">
        <v>237</v>
      </c>
      <c r="AC11" s="2">
        <v>1865</v>
      </c>
      <c r="AD11" s="2">
        <v>4.42</v>
      </c>
      <c r="AE11" s="2">
        <v>66.180000000000007</v>
      </c>
      <c r="AF11" s="2">
        <v>0.1</v>
      </c>
    </row>
    <row r="12" spans="1:32" x14ac:dyDescent="0.3">
      <c r="A12" s="2">
        <v>11</v>
      </c>
      <c r="B12" s="2" t="s">
        <v>43</v>
      </c>
      <c r="F12" s="2">
        <v>24</v>
      </c>
      <c r="G12" s="2" t="str">
        <f>LOOKUP(F12,{0,0;16,"16-19";20,"20-24";25,"25-29";30,"30-34";35,"35-39";40,"40-44";45,"45-49";50,"50-54";55,"55-59";60,"60-64"})</f>
        <v>20-24</v>
      </c>
      <c r="H12" s="2">
        <v>72</v>
      </c>
      <c r="I12" s="2">
        <v>170</v>
      </c>
      <c r="J12" s="2">
        <v>14</v>
      </c>
      <c r="K12" s="2">
        <v>13.4</v>
      </c>
      <c r="L12" s="2">
        <f t="shared" si="0"/>
        <v>0.59999999999999964</v>
      </c>
      <c r="M12" s="2">
        <v>44.8</v>
      </c>
      <c r="N12" s="2">
        <v>43</v>
      </c>
      <c r="O12" s="2">
        <f t="shared" si="1"/>
        <v>1.7999999999999972</v>
      </c>
      <c r="P12" s="2">
        <v>284</v>
      </c>
      <c r="Q12" s="2">
        <v>233</v>
      </c>
      <c r="R12" s="2">
        <f t="shared" si="2"/>
        <v>51</v>
      </c>
      <c r="S12" s="2">
        <v>9.6999999999999993</v>
      </c>
      <c r="T12" s="2">
        <v>10.8</v>
      </c>
      <c r="U12" s="2">
        <f t="shared" si="3"/>
        <v>-1.1000000000000014</v>
      </c>
      <c r="V12" s="2">
        <v>10.8</v>
      </c>
      <c r="W12" s="2">
        <v>13.7</v>
      </c>
      <c r="X12" s="2">
        <f t="shared" si="4"/>
        <v>-2.8999999999999986</v>
      </c>
      <c r="Y12" s="2">
        <v>2273</v>
      </c>
      <c r="Z12" s="2">
        <v>129</v>
      </c>
      <c r="AA12" s="2">
        <v>41</v>
      </c>
      <c r="AB12" s="2">
        <v>238</v>
      </c>
      <c r="AC12" s="2">
        <v>1493</v>
      </c>
      <c r="AD12" s="2">
        <v>3.55</v>
      </c>
      <c r="AE12" s="2">
        <v>60.42</v>
      </c>
      <c r="AF12" s="2">
        <v>8.5999999999999993E-2</v>
      </c>
    </row>
    <row r="13" spans="1:32" x14ac:dyDescent="0.3">
      <c r="A13" s="2">
        <v>12</v>
      </c>
      <c r="B13" s="2" t="s">
        <v>43</v>
      </c>
      <c r="F13" s="2">
        <v>32</v>
      </c>
      <c r="G13" s="2" t="str">
        <f>LOOKUP(F13,{0,0;16,"16-19";20,"20-24";25,"25-29";30,"30-34";35,"35-39";40,"40-44";45,"45-49";50,"50-54";55,"55-59";60,"60-64"})</f>
        <v>30-34</v>
      </c>
      <c r="H13" s="2">
        <v>79</v>
      </c>
      <c r="I13" s="2">
        <v>175</v>
      </c>
      <c r="J13" s="2">
        <v>15.6</v>
      </c>
      <c r="K13" s="2">
        <v>15.2</v>
      </c>
      <c r="L13" s="2">
        <f t="shared" si="0"/>
        <v>0.40000000000000036</v>
      </c>
      <c r="M13" s="2">
        <v>48.7</v>
      </c>
      <c r="N13" s="2">
        <v>47</v>
      </c>
      <c r="O13" s="2">
        <f t="shared" si="1"/>
        <v>1.7000000000000028</v>
      </c>
      <c r="P13" s="2">
        <v>275</v>
      </c>
      <c r="Q13" s="2">
        <v>232</v>
      </c>
      <c r="R13" s="2">
        <f t="shared" si="2"/>
        <v>43</v>
      </c>
      <c r="S13" s="2">
        <v>9.5</v>
      </c>
      <c r="T13" s="2">
        <v>9.6999999999999993</v>
      </c>
      <c r="U13" s="2">
        <f t="shared" si="3"/>
        <v>-0.19999999999999929</v>
      </c>
      <c r="V13" s="2">
        <v>10.199999999999999</v>
      </c>
      <c r="W13" s="2">
        <v>10.3</v>
      </c>
      <c r="X13" s="2">
        <f t="shared" si="4"/>
        <v>-0.10000000000000142</v>
      </c>
      <c r="Y13" s="2">
        <v>2447</v>
      </c>
      <c r="Z13" s="2">
        <v>127</v>
      </c>
      <c r="AA13" s="2">
        <v>46</v>
      </c>
      <c r="AB13" s="2">
        <v>236</v>
      </c>
      <c r="AC13" s="2">
        <v>2113</v>
      </c>
      <c r="AD13" s="2">
        <v>4.9800000000000004</v>
      </c>
      <c r="AE13" s="2">
        <v>80.28</v>
      </c>
      <c r="AF13" s="2">
        <v>0.1</v>
      </c>
    </row>
    <row r="14" spans="1:32" x14ac:dyDescent="0.3">
      <c r="A14" s="2">
        <v>13</v>
      </c>
      <c r="B14" s="2" t="s">
        <v>43</v>
      </c>
      <c r="F14" s="2">
        <v>27</v>
      </c>
      <c r="G14" s="2" t="str">
        <f>LOOKUP(F14,{0,0;16,"16-19";20,"20-24";25,"25-29";30,"30-34";35,"35-39";40,"40-44";45,"45-49";50,"50-54";55,"55-59";60,"60-64"})</f>
        <v>25-29</v>
      </c>
      <c r="H14" s="2">
        <v>75</v>
      </c>
      <c r="I14" s="2">
        <v>174</v>
      </c>
      <c r="J14" s="2">
        <v>16.3</v>
      </c>
      <c r="K14" s="2">
        <v>15.6</v>
      </c>
      <c r="L14" s="2">
        <f t="shared" si="0"/>
        <v>0.70000000000000107</v>
      </c>
      <c r="M14" s="2">
        <v>49.4</v>
      </c>
      <c r="N14" s="2">
        <v>47.1</v>
      </c>
      <c r="O14" s="2">
        <f t="shared" si="1"/>
        <v>2.2999999999999972</v>
      </c>
      <c r="P14" s="2">
        <v>312</v>
      </c>
      <c r="Q14" s="2">
        <v>226</v>
      </c>
      <c r="R14" s="2">
        <f t="shared" si="2"/>
        <v>86</v>
      </c>
      <c r="S14" s="2">
        <v>9.3000000000000007</v>
      </c>
      <c r="T14" s="2">
        <v>9.6</v>
      </c>
      <c r="U14" s="2">
        <f t="shared" si="3"/>
        <v>-0.29999999999999893</v>
      </c>
      <c r="V14" s="2">
        <v>10.7</v>
      </c>
      <c r="W14" s="2">
        <v>11.8</v>
      </c>
      <c r="X14" s="2">
        <f t="shared" si="4"/>
        <v>-1.1000000000000014</v>
      </c>
      <c r="Y14" s="2">
        <v>2216</v>
      </c>
      <c r="Z14" s="2">
        <v>129</v>
      </c>
      <c r="AA14" s="2">
        <v>40</v>
      </c>
      <c r="AB14" s="2">
        <v>239</v>
      </c>
      <c r="AC14" s="2">
        <v>1963</v>
      </c>
      <c r="AD14" s="2">
        <v>4.7300000000000004</v>
      </c>
      <c r="AE14" s="2">
        <v>79.349999999999994</v>
      </c>
      <c r="AF14" s="2">
        <v>0.11</v>
      </c>
    </row>
    <row r="15" spans="1:32" x14ac:dyDescent="0.3">
      <c r="A15" s="2">
        <v>14</v>
      </c>
      <c r="B15" s="2" t="s">
        <v>43</v>
      </c>
      <c r="F15" s="2">
        <v>25</v>
      </c>
      <c r="G15" s="2" t="str">
        <f>LOOKUP(F15,{0,0;16,"16-19";20,"20-24";25,"25-29";30,"30-34";35,"35-39";40,"40-44";45,"45-49";50,"50-54";55,"55-59";60,"60-64"})</f>
        <v>25-29</v>
      </c>
      <c r="H15" s="2">
        <v>78</v>
      </c>
      <c r="I15" s="2">
        <v>178</v>
      </c>
      <c r="J15" s="2">
        <v>13.7</v>
      </c>
      <c r="K15" s="2">
        <v>13.1</v>
      </c>
      <c r="L15" s="2">
        <f t="shared" si="0"/>
        <v>0.59999999999999964</v>
      </c>
      <c r="M15" s="2">
        <v>38.1</v>
      </c>
      <c r="N15" s="2">
        <v>36.4</v>
      </c>
      <c r="O15" s="2">
        <f t="shared" si="1"/>
        <v>1.7000000000000028</v>
      </c>
      <c r="P15" s="2">
        <v>313</v>
      </c>
      <c r="Q15" s="2">
        <v>232</v>
      </c>
      <c r="R15" s="2">
        <f t="shared" si="2"/>
        <v>81</v>
      </c>
      <c r="S15" s="2">
        <v>10.9</v>
      </c>
      <c r="T15" s="2">
        <v>11</v>
      </c>
      <c r="U15" s="2">
        <f t="shared" si="3"/>
        <v>-9.9999999999999645E-2</v>
      </c>
      <c r="V15" s="2">
        <v>14.6</v>
      </c>
      <c r="W15" s="2">
        <v>15.4</v>
      </c>
      <c r="X15" s="2">
        <f t="shared" si="4"/>
        <v>-0.80000000000000071</v>
      </c>
      <c r="Y15" s="2">
        <v>2074</v>
      </c>
      <c r="Z15" s="2">
        <v>119</v>
      </c>
      <c r="AA15" s="2">
        <v>41</v>
      </c>
      <c r="AB15" s="2">
        <v>240</v>
      </c>
      <c r="AC15" s="2">
        <v>778</v>
      </c>
      <c r="AD15" s="2">
        <v>2.1</v>
      </c>
      <c r="AE15" s="2">
        <v>37.159999999999997</v>
      </c>
      <c r="AF15" s="2">
        <v>5.0999999999999997E-2</v>
      </c>
    </row>
    <row r="16" spans="1:32" x14ac:dyDescent="0.3">
      <c r="A16" s="2">
        <v>15</v>
      </c>
      <c r="B16" s="2" t="s">
        <v>43</v>
      </c>
      <c r="F16" s="2">
        <v>35</v>
      </c>
      <c r="G16" s="2" t="str">
        <f>LOOKUP(F16,{0,0;16,"16-19";20,"20-24";25,"25-29";30,"30-34";35,"35-39";40,"40-44";45,"45-49";50,"50-54";55,"55-59";60,"60-64"})</f>
        <v>35-39</v>
      </c>
      <c r="H16" s="2">
        <v>75</v>
      </c>
      <c r="I16" s="2">
        <v>175</v>
      </c>
      <c r="J16" s="2">
        <v>14.3</v>
      </c>
      <c r="K16" s="2">
        <v>14</v>
      </c>
      <c r="L16" s="2">
        <f t="shared" si="0"/>
        <v>0.30000000000000071</v>
      </c>
      <c r="M16" s="2">
        <v>43.1</v>
      </c>
      <c r="N16" s="2">
        <v>42.5</v>
      </c>
      <c r="O16" s="2">
        <f t="shared" si="1"/>
        <v>0.60000000000000142</v>
      </c>
      <c r="P16" s="2">
        <v>191</v>
      </c>
      <c r="Q16" s="2">
        <v>129</v>
      </c>
      <c r="R16" s="2">
        <f t="shared" si="2"/>
        <v>62</v>
      </c>
      <c r="S16" s="2">
        <v>11</v>
      </c>
      <c r="T16" s="2">
        <v>11</v>
      </c>
      <c r="U16" s="2">
        <f t="shared" si="3"/>
        <v>0</v>
      </c>
      <c r="V16" s="2">
        <v>14.2</v>
      </c>
      <c r="W16" s="2">
        <v>15.3</v>
      </c>
      <c r="X16" s="2">
        <f t="shared" si="4"/>
        <v>-1.1000000000000014</v>
      </c>
      <c r="Y16" s="2">
        <v>3243</v>
      </c>
      <c r="Z16" s="2">
        <v>100</v>
      </c>
      <c r="AA16" s="2">
        <v>63</v>
      </c>
      <c r="AB16" s="2">
        <v>238</v>
      </c>
      <c r="AC16" s="2">
        <v>1834</v>
      </c>
      <c r="AD16" s="2">
        <v>4.3600000000000003</v>
      </c>
      <c r="AE16" s="2">
        <v>84.03</v>
      </c>
      <c r="AF16" s="2">
        <v>6.9000000000000006E-2</v>
      </c>
    </row>
    <row r="17" spans="1:32" x14ac:dyDescent="0.3">
      <c r="A17" s="2">
        <v>16</v>
      </c>
      <c r="B17" s="2" t="s">
        <v>43</v>
      </c>
      <c r="F17" s="2">
        <v>43</v>
      </c>
      <c r="G17" s="2" t="str">
        <f>LOOKUP(F17,{0,0;16,"16-19";20,"20-24";25,"25-29";30,"30-34";35,"35-39";40,"40-44";45,"45-49";50,"50-54";55,"55-59";60,"60-64"})</f>
        <v>40-44</v>
      </c>
      <c r="H17" s="2">
        <v>84</v>
      </c>
      <c r="I17" s="2">
        <v>177</v>
      </c>
      <c r="J17" s="2">
        <v>16</v>
      </c>
      <c r="K17" s="2">
        <v>15.4</v>
      </c>
      <c r="L17" s="2">
        <f t="shared" si="0"/>
        <v>0.59999999999999964</v>
      </c>
      <c r="M17" s="2">
        <v>45.2</v>
      </c>
      <c r="N17" s="2">
        <v>43.4</v>
      </c>
      <c r="O17" s="2">
        <f t="shared" si="1"/>
        <v>1.8000000000000043</v>
      </c>
      <c r="P17" s="2">
        <v>313</v>
      </c>
      <c r="Q17" s="2">
        <v>228</v>
      </c>
      <c r="R17" s="2">
        <f t="shared" si="2"/>
        <v>85</v>
      </c>
      <c r="S17" s="2">
        <v>8.9</v>
      </c>
      <c r="T17" s="2">
        <v>9.5</v>
      </c>
      <c r="U17" s="2">
        <f t="shared" si="3"/>
        <v>-0.59999999999999964</v>
      </c>
      <c r="V17" s="2">
        <v>10.8</v>
      </c>
      <c r="W17" s="2">
        <v>10.6</v>
      </c>
      <c r="X17" s="2">
        <f t="shared" si="4"/>
        <v>0.20000000000000107</v>
      </c>
      <c r="Y17" s="2">
        <v>2091</v>
      </c>
      <c r="Z17" s="2">
        <v>97</v>
      </c>
      <c r="AA17" s="2">
        <v>47</v>
      </c>
      <c r="AB17" s="2">
        <v>242</v>
      </c>
      <c r="AC17" s="2">
        <v>944</v>
      </c>
      <c r="AD17" s="2">
        <v>2.2799999999999998</v>
      </c>
      <c r="AE17" s="2">
        <v>40.31</v>
      </c>
      <c r="AF17" s="2">
        <v>4.8000000000000001E-2</v>
      </c>
    </row>
    <row r="18" spans="1:32" x14ac:dyDescent="0.3">
      <c r="A18" s="2">
        <v>17</v>
      </c>
      <c r="B18" s="2" t="s">
        <v>43</v>
      </c>
      <c r="F18" s="2">
        <v>25</v>
      </c>
      <c r="G18" s="2" t="str">
        <f>LOOKUP(F18,{0,0;16,"16-19";20,"20-24";25,"25-29";30,"30-34";35,"35-39";40,"40-44";45,"45-49";50,"50-54";55,"55-59";60,"60-64"})</f>
        <v>25-29</v>
      </c>
      <c r="H18" s="2">
        <v>73</v>
      </c>
      <c r="I18" s="2">
        <v>175</v>
      </c>
      <c r="J18" s="2">
        <v>14.3</v>
      </c>
      <c r="K18" s="2">
        <v>14.1</v>
      </c>
      <c r="L18" s="2">
        <f t="shared" si="0"/>
        <v>0.20000000000000107</v>
      </c>
      <c r="M18" s="2">
        <v>41.5</v>
      </c>
      <c r="N18" s="2">
        <v>40.799999999999997</v>
      </c>
      <c r="O18" s="2">
        <f t="shared" si="1"/>
        <v>0.70000000000000284</v>
      </c>
      <c r="P18" s="2">
        <v>241</v>
      </c>
      <c r="Q18" s="2">
        <v>155</v>
      </c>
      <c r="R18" s="2">
        <f t="shared" si="2"/>
        <v>86</v>
      </c>
      <c r="S18" s="2">
        <v>11.2</v>
      </c>
      <c r="T18" s="2">
        <v>10.9</v>
      </c>
      <c r="U18" s="2">
        <f t="shared" si="3"/>
        <v>0.29999999999999893</v>
      </c>
      <c r="V18" s="2">
        <v>15.2</v>
      </c>
      <c r="W18" s="2">
        <v>14.6</v>
      </c>
      <c r="X18" s="2">
        <f t="shared" si="4"/>
        <v>0.59999999999999964</v>
      </c>
      <c r="Y18" s="2">
        <v>2420</v>
      </c>
      <c r="Z18" s="2">
        <v>96</v>
      </c>
      <c r="AA18" s="2">
        <v>61</v>
      </c>
      <c r="AB18" s="2">
        <v>239</v>
      </c>
      <c r="AC18" s="2">
        <v>1131</v>
      </c>
      <c r="AD18" s="2">
        <v>2.7</v>
      </c>
      <c r="AE18" s="2">
        <v>56.35</v>
      </c>
      <c r="AF18" s="2">
        <v>4.3999999999999997E-2</v>
      </c>
    </row>
    <row r="19" spans="1:32" x14ac:dyDescent="0.3">
      <c r="A19" s="2">
        <v>18</v>
      </c>
      <c r="B19" s="2" t="s">
        <v>43</v>
      </c>
      <c r="F19" s="2">
        <v>28</v>
      </c>
      <c r="G19" s="2" t="str">
        <f>LOOKUP(F19,{0,0;16,"16-19";20,"20-24";25,"25-29";30,"30-34";35,"35-39";40,"40-44";45,"45-49";50,"50-54";55,"55-59";60,"60-64"})</f>
        <v>25-29</v>
      </c>
      <c r="H19" s="2">
        <v>60</v>
      </c>
      <c r="I19" s="2">
        <v>160</v>
      </c>
      <c r="J19" s="2">
        <v>15.1</v>
      </c>
      <c r="K19" s="2">
        <v>14.2</v>
      </c>
      <c r="L19" s="2">
        <f t="shared" si="0"/>
        <v>0.90000000000000036</v>
      </c>
      <c r="M19" s="2">
        <v>45.4</v>
      </c>
      <c r="N19" s="2">
        <v>42</v>
      </c>
      <c r="O19" s="2">
        <f t="shared" si="1"/>
        <v>3.3999999999999986</v>
      </c>
      <c r="P19" s="2">
        <v>243</v>
      </c>
      <c r="Q19" s="2">
        <v>169</v>
      </c>
      <c r="R19" s="2">
        <f t="shared" si="2"/>
        <v>74</v>
      </c>
      <c r="S19" s="2">
        <v>10</v>
      </c>
      <c r="T19" s="2">
        <v>10.5</v>
      </c>
      <c r="U19" s="2">
        <f t="shared" si="3"/>
        <v>-0.5</v>
      </c>
      <c r="V19" s="2">
        <v>12.4</v>
      </c>
      <c r="W19" s="2">
        <v>14</v>
      </c>
      <c r="X19" s="2">
        <f t="shared" si="4"/>
        <v>-1.5999999999999996</v>
      </c>
      <c r="Y19" s="2">
        <v>2681</v>
      </c>
      <c r="Z19" s="2">
        <v>100</v>
      </c>
      <c r="AA19" s="2">
        <v>60</v>
      </c>
      <c r="AB19" s="2">
        <v>242</v>
      </c>
      <c r="AC19" s="2">
        <v>1279</v>
      </c>
      <c r="AD19" s="2">
        <v>3.09</v>
      </c>
      <c r="AE19" s="2">
        <v>55.94</v>
      </c>
      <c r="AF19" s="2">
        <v>5.0999999999999997E-2</v>
      </c>
    </row>
    <row r="20" spans="1:32" x14ac:dyDescent="0.3">
      <c r="A20" s="2">
        <v>19</v>
      </c>
      <c r="B20" s="2" t="s">
        <v>43</v>
      </c>
      <c r="F20" s="2">
        <v>40</v>
      </c>
      <c r="G20" s="2" t="str">
        <f>LOOKUP(F20,{0,0;16,"16-19";20,"20-24";25,"25-29";30,"30-34";35,"35-39";40,"40-44";45,"45-49";50,"50-54";55,"55-59";60,"60-64"})</f>
        <v>40-44</v>
      </c>
      <c r="H20" s="2">
        <v>69</v>
      </c>
      <c r="I20" s="2">
        <v>173</v>
      </c>
      <c r="J20" s="2">
        <v>14.1</v>
      </c>
      <c r="K20" s="2">
        <v>13.4</v>
      </c>
      <c r="L20" s="2">
        <f t="shared" si="0"/>
        <v>0.69999999999999929</v>
      </c>
      <c r="M20" s="2">
        <v>39.299999999999997</v>
      </c>
      <c r="N20" s="2">
        <v>37.299999999999997</v>
      </c>
      <c r="O20" s="2">
        <f t="shared" si="1"/>
        <v>2</v>
      </c>
      <c r="P20" s="2">
        <v>219</v>
      </c>
      <c r="Q20" s="2">
        <v>131</v>
      </c>
      <c r="R20" s="2">
        <f t="shared" si="2"/>
        <v>88</v>
      </c>
      <c r="S20" s="2">
        <v>11.1</v>
      </c>
      <c r="T20" s="2">
        <v>11.3</v>
      </c>
      <c r="U20" s="2">
        <f t="shared" si="3"/>
        <v>-0.20000000000000107</v>
      </c>
      <c r="V20" s="2">
        <v>14.4</v>
      </c>
      <c r="W20" s="2">
        <v>15.1</v>
      </c>
      <c r="X20" s="2">
        <f t="shared" si="4"/>
        <v>-0.69999999999999929</v>
      </c>
      <c r="Y20" s="2">
        <v>2939</v>
      </c>
      <c r="Z20" s="2">
        <v>104</v>
      </c>
      <c r="AA20" s="2">
        <v>39</v>
      </c>
      <c r="AB20" s="2">
        <v>236</v>
      </c>
      <c r="AC20" s="2">
        <v>2200</v>
      </c>
      <c r="AD20" s="2">
        <v>5.19</v>
      </c>
      <c r="AE20" s="2">
        <v>100</v>
      </c>
      <c r="AF20" s="2">
        <v>0.13</v>
      </c>
    </row>
    <row r="21" spans="1:32" x14ac:dyDescent="0.3">
      <c r="A21" s="2">
        <v>20</v>
      </c>
      <c r="B21" s="2" t="s">
        <v>43</v>
      </c>
      <c r="F21" s="2">
        <v>34</v>
      </c>
      <c r="G21" s="2" t="str">
        <f>LOOKUP(F21,{0,0;16,"16-19";20,"20-24";25,"25-29";30,"30-34";35,"35-39";40,"40-44";45,"45-49";50,"50-54";55,"55-59";60,"60-64"})</f>
        <v>30-34</v>
      </c>
      <c r="H21" s="2">
        <v>76</v>
      </c>
      <c r="I21" s="2">
        <v>178</v>
      </c>
      <c r="J21" s="2">
        <v>13.6</v>
      </c>
      <c r="K21" s="2">
        <v>13</v>
      </c>
      <c r="L21" s="2">
        <f t="shared" si="0"/>
        <v>0.59999999999999964</v>
      </c>
      <c r="M21" s="2">
        <v>42.6</v>
      </c>
      <c r="N21" s="2">
        <v>40.700000000000003</v>
      </c>
      <c r="O21" s="2">
        <f t="shared" si="1"/>
        <v>1.8999999999999986</v>
      </c>
      <c r="P21" s="2">
        <v>259</v>
      </c>
      <c r="Q21" s="2">
        <v>208</v>
      </c>
      <c r="R21" s="2">
        <f t="shared" si="2"/>
        <v>51</v>
      </c>
      <c r="S21" s="2">
        <v>10.3</v>
      </c>
      <c r="T21" s="2">
        <v>10.7</v>
      </c>
      <c r="U21" s="2">
        <f t="shared" si="3"/>
        <v>-0.39999999999999858</v>
      </c>
      <c r="V21" s="2">
        <v>13.2</v>
      </c>
      <c r="W21" s="2">
        <v>14.4</v>
      </c>
      <c r="X21" s="2">
        <f t="shared" si="4"/>
        <v>-1.2000000000000011</v>
      </c>
      <c r="Y21" s="2">
        <v>2345</v>
      </c>
      <c r="Z21" s="2">
        <v>127</v>
      </c>
      <c r="AA21" s="2">
        <v>60</v>
      </c>
      <c r="AB21" s="2">
        <v>233</v>
      </c>
      <c r="AC21" s="2">
        <v>1647</v>
      </c>
      <c r="AD21" s="2">
        <v>3.83</v>
      </c>
      <c r="AE21" s="2">
        <v>82.58</v>
      </c>
      <c r="AF21" s="2">
        <v>6.3E-2</v>
      </c>
    </row>
    <row r="22" spans="1:32" x14ac:dyDescent="0.3">
      <c r="A22" s="2">
        <v>21</v>
      </c>
      <c r="B22" s="2" t="s">
        <v>43</v>
      </c>
      <c r="F22" s="2">
        <v>20</v>
      </c>
      <c r="G22" s="2" t="str">
        <f>LOOKUP(F22,{0,0;16,"16-19";20,"20-24";25,"25-29";30,"30-34";35,"35-39";40,"40-44";45,"45-49";50,"50-54";55,"55-59";60,"60-64"})</f>
        <v>20-24</v>
      </c>
      <c r="H22" s="2">
        <v>69</v>
      </c>
      <c r="I22" s="2">
        <v>179</v>
      </c>
      <c r="J22" s="2">
        <v>13.8</v>
      </c>
      <c r="K22" s="2">
        <v>12.9</v>
      </c>
      <c r="L22" s="2">
        <f t="shared" si="0"/>
        <v>0.90000000000000036</v>
      </c>
      <c r="M22" s="2">
        <v>49.3</v>
      </c>
      <c r="N22" s="2">
        <v>47.6</v>
      </c>
      <c r="O22" s="2">
        <f t="shared" si="1"/>
        <v>1.6999999999999957</v>
      </c>
      <c r="P22" s="2">
        <v>242</v>
      </c>
      <c r="Q22" s="2">
        <v>181</v>
      </c>
      <c r="R22" s="2">
        <f t="shared" si="2"/>
        <v>61</v>
      </c>
      <c r="S22" s="2">
        <v>9.1</v>
      </c>
      <c r="T22" s="2">
        <v>10.199999999999999</v>
      </c>
      <c r="U22" s="2">
        <f t="shared" si="3"/>
        <v>-1.0999999999999996</v>
      </c>
      <c r="V22" s="2">
        <v>12.3</v>
      </c>
      <c r="W22" s="2">
        <v>13.7</v>
      </c>
      <c r="X22" s="2">
        <f t="shared" si="4"/>
        <v>-1.3999999999999986</v>
      </c>
      <c r="Y22" s="2">
        <v>2769</v>
      </c>
      <c r="Z22" s="2">
        <v>105</v>
      </c>
      <c r="AA22" s="2">
        <v>63</v>
      </c>
      <c r="AB22" s="2">
        <v>238</v>
      </c>
      <c r="AC22" s="2">
        <v>1534</v>
      </c>
      <c r="AD22" s="2">
        <v>3.65</v>
      </c>
      <c r="AE22" s="2">
        <v>75.06</v>
      </c>
      <c r="AF22" s="2">
        <v>5.7000000000000002E-2</v>
      </c>
    </row>
    <row r="23" spans="1:32" x14ac:dyDescent="0.3">
      <c r="A23" s="2">
        <v>22</v>
      </c>
      <c r="B23" s="2" t="s">
        <v>43</v>
      </c>
      <c r="F23" s="2">
        <v>36</v>
      </c>
      <c r="G23" s="2" t="str">
        <f>LOOKUP(F23,{0,0;16,"16-19";20,"20-24";25,"25-29";30,"30-34";35,"35-39";40,"40-44";45,"45-49";50,"50-54";55,"55-59";60,"60-64"})</f>
        <v>35-39</v>
      </c>
      <c r="H23" s="2">
        <v>75</v>
      </c>
      <c r="I23" s="2">
        <v>177</v>
      </c>
      <c r="J23" s="2">
        <v>14.1</v>
      </c>
      <c r="K23" s="2">
        <v>13.2</v>
      </c>
      <c r="L23" s="2">
        <f t="shared" si="0"/>
        <v>0.90000000000000036</v>
      </c>
      <c r="M23" s="2">
        <v>49.3</v>
      </c>
      <c r="N23" s="2">
        <v>47.9</v>
      </c>
      <c r="O23" s="2">
        <f t="shared" si="1"/>
        <v>1.3999999999999986</v>
      </c>
      <c r="P23" s="2">
        <v>303</v>
      </c>
      <c r="Q23" s="2">
        <v>240</v>
      </c>
      <c r="R23" s="2">
        <f t="shared" si="2"/>
        <v>63</v>
      </c>
      <c r="S23" s="2">
        <v>11.2</v>
      </c>
      <c r="T23" s="2">
        <v>12</v>
      </c>
      <c r="U23" s="2">
        <f t="shared" si="3"/>
        <v>-0.80000000000000071</v>
      </c>
      <c r="V23" s="2">
        <v>10.9</v>
      </c>
      <c r="W23" s="2">
        <v>11.9</v>
      </c>
      <c r="X23" s="2">
        <f t="shared" si="4"/>
        <v>-1</v>
      </c>
      <c r="Y23" s="2">
        <v>2642</v>
      </c>
      <c r="Z23" s="2">
        <v>95</v>
      </c>
      <c r="AA23" s="2">
        <v>37</v>
      </c>
      <c r="AB23" s="2">
        <v>231</v>
      </c>
      <c r="AC23" s="2">
        <v>1826</v>
      </c>
      <c r="AD23" s="2">
        <v>4.21</v>
      </c>
      <c r="AE23" s="2">
        <v>73.02</v>
      </c>
      <c r="AF23" s="2">
        <v>0.11</v>
      </c>
    </row>
    <row r="24" spans="1:32" x14ac:dyDescent="0.3">
      <c r="A24" s="2">
        <v>23</v>
      </c>
      <c r="B24" s="2" t="s">
        <v>43</v>
      </c>
      <c r="F24" s="2">
        <v>27</v>
      </c>
      <c r="G24" s="2" t="str">
        <f>LOOKUP(F24,{0,0;16,"16-19";20,"20-24";25,"25-29";30,"30-34";35,"35-39";40,"40-44";45,"45-49";50,"50-54";55,"55-59";60,"60-64"})</f>
        <v>25-29</v>
      </c>
      <c r="H24" s="2">
        <v>76</v>
      </c>
      <c r="I24" s="2">
        <v>178</v>
      </c>
      <c r="J24" s="2">
        <v>16.3</v>
      </c>
      <c r="K24" s="2">
        <v>15.6</v>
      </c>
      <c r="L24" s="2">
        <f t="shared" si="0"/>
        <v>0.70000000000000107</v>
      </c>
      <c r="M24" s="2">
        <v>46.7</v>
      </c>
      <c r="N24" s="2">
        <v>45.6</v>
      </c>
      <c r="O24" s="2">
        <f t="shared" si="1"/>
        <v>1.1000000000000014</v>
      </c>
      <c r="P24" s="2">
        <v>277</v>
      </c>
      <c r="Q24" s="2">
        <v>204</v>
      </c>
      <c r="R24" s="2">
        <f t="shared" si="2"/>
        <v>73</v>
      </c>
      <c r="S24" s="2">
        <v>11.4</v>
      </c>
      <c r="T24" s="2">
        <v>11.7</v>
      </c>
      <c r="U24" s="2">
        <f t="shared" si="3"/>
        <v>-0.29999999999999893</v>
      </c>
      <c r="V24" s="2">
        <v>12.6</v>
      </c>
      <c r="W24" s="2">
        <v>13.3</v>
      </c>
      <c r="X24" s="2">
        <f t="shared" si="4"/>
        <v>-0.70000000000000107</v>
      </c>
      <c r="Y24" s="2">
        <v>2222</v>
      </c>
      <c r="Z24" s="2">
        <v>93</v>
      </c>
      <c r="AA24" s="2">
        <v>38</v>
      </c>
      <c r="AB24" s="2">
        <v>242</v>
      </c>
      <c r="AC24" s="2">
        <v>1340</v>
      </c>
      <c r="AD24" s="2">
        <v>3.24</v>
      </c>
      <c r="AE24" s="2">
        <v>78.61</v>
      </c>
      <c r="AF24" s="2">
        <v>8.5000000000000006E-2</v>
      </c>
    </row>
    <row r="25" spans="1:32" x14ac:dyDescent="0.3">
      <c r="A25" s="2">
        <v>24</v>
      </c>
      <c r="B25" s="2" t="s">
        <v>43</v>
      </c>
      <c r="F25" s="2">
        <v>28</v>
      </c>
      <c r="G25" s="2" t="str">
        <f>LOOKUP(F25,{0,0;16,"16-19";20,"20-24";25,"25-29";30,"30-34";35,"35-39";40,"40-44";45,"45-49";50,"50-54";55,"55-59";60,"60-64"})</f>
        <v>25-29</v>
      </c>
      <c r="H25" s="2">
        <v>83</v>
      </c>
      <c r="I25" s="2">
        <v>176</v>
      </c>
      <c r="J25" s="2">
        <v>15.7</v>
      </c>
      <c r="K25" s="2">
        <v>15.2</v>
      </c>
      <c r="L25" s="2">
        <f t="shared" si="0"/>
        <v>0.5</v>
      </c>
      <c r="M25" s="2">
        <v>49.4</v>
      </c>
      <c r="N25" s="2">
        <v>47.3</v>
      </c>
      <c r="O25" s="2">
        <f t="shared" si="1"/>
        <v>2.1000000000000014</v>
      </c>
      <c r="P25" s="2">
        <v>266</v>
      </c>
      <c r="Q25" s="2">
        <v>208</v>
      </c>
      <c r="R25" s="2">
        <f t="shared" si="2"/>
        <v>58</v>
      </c>
      <c r="S25" s="2">
        <v>10</v>
      </c>
      <c r="T25" s="2">
        <v>10.9</v>
      </c>
      <c r="U25" s="2">
        <f t="shared" si="3"/>
        <v>-0.90000000000000036</v>
      </c>
      <c r="V25" s="2">
        <v>10.3</v>
      </c>
      <c r="W25" s="2">
        <v>11.2</v>
      </c>
      <c r="X25" s="2">
        <f t="shared" si="4"/>
        <v>-0.89999999999999858</v>
      </c>
      <c r="Y25" s="2">
        <v>3125</v>
      </c>
      <c r="Z25" s="2">
        <v>125</v>
      </c>
      <c r="AA25" s="2">
        <v>55</v>
      </c>
      <c r="AB25" s="2">
        <v>236</v>
      </c>
      <c r="AC25" s="2">
        <v>1403</v>
      </c>
      <c r="AD25" s="2">
        <v>3.31</v>
      </c>
      <c r="AE25" s="2">
        <v>64.52</v>
      </c>
      <c r="AF25" s="2">
        <v>0.06</v>
      </c>
    </row>
    <row r="26" spans="1:32" x14ac:dyDescent="0.3">
      <c r="A26" s="2">
        <v>25</v>
      </c>
      <c r="B26" s="2" t="s">
        <v>43</v>
      </c>
      <c r="F26" s="2">
        <v>38</v>
      </c>
      <c r="G26" s="2" t="str">
        <f>LOOKUP(F26,{0,0;16,"16-19";20,"20-24";25,"25-29";30,"30-34";35,"35-39";40,"40-44";45,"45-49";50,"50-54";55,"55-59";60,"60-64"})</f>
        <v>35-39</v>
      </c>
      <c r="H26" s="2">
        <v>70</v>
      </c>
      <c r="I26" s="2">
        <v>179</v>
      </c>
      <c r="J26" s="2">
        <v>15.2</v>
      </c>
      <c r="K26" s="2">
        <v>14.7</v>
      </c>
      <c r="L26" s="2">
        <f t="shared" si="0"/>
        <v>0.5</v>
      </c>
      <c r="M26" s="2">
        <v>43</v>
      </c>
      <c r="N26" s="2">
        <v>41.1</v>
      </c>
      <c r="O26" s="2">
        <f t="shared" si="1"/>
        <v>1.8999999999999986</v>
      </c>
      <c r="P26" s="2">
        <v>330</v>
      </c>
      <c r="Q26" s="2">
        <v>271</v>
      </c>
      <c r="R26" s="2">
        <f t="shared" si="2"/>
        <v>59</v>
      </c>
      <c r="S26" s="2">
        <v>9.1</v>
      </c>
      <c r="T26" s="2">
        <v>9.8000000000000007</v>
      </c>
      <c r="U26" s="2">
        <f t="shared" si="3"/>
        <v>-0.70000000000000107</v>
      </c>
      <c r="V26" s="2">
        <v>10.199999999999999</v>
      </c>
      <c r="W26" s="2">
        <v>11.1</v>
      </c>
      <c r="X26" s="2">
        <f t="shared" si="4"/>
        <v>-0.90000000000000036</v>
      </c>
      <c r="Y26" s="2">
        <v>2805</v>
      </c>
      <c r="Z26" s="2">
        <v>118</v>
      </c>
      <c r="AA26" s="2">
        <v>49</v>
      </c>
      <c r="AB26" s="2">
        <v>230</v>
      </c>
      <c r="AC26" s="2">
        <v>1310</v>
      </c>
      <c r="AD26" s="2">
        <v>3.01</v>
      </c>
      <c r="AE26" s="2">
        <v>61.86</v>
      </c>
      <c r="AF26" s="2">
        <v>6.0999999999999999E-2</v>
      </c>
    </row>
    <row r="27" spans="1:32" x14ac:dyDescent="0.3">
      <c r="A27" s="2">
        <v>26</v>
      </c>
      <c r="B27" s="2" t="s">
        <v>43</v>
      </c>
      <c r="F27" s="2">
        <v>36</v>
      </c>
      <c r="G27" s="2" t="str">
        <f>LOOKUP(F27,{0,0;16,"16-19";20,"20-24";25,"25-29";30,"30-34";35,"35-39";40,"40-44";45,"45-49";50,"50-54";55,"55-59";60,"60-64"})</f>
        <v>35-39</v>
      </c>
      <c r="H27" s="2">
        <v>70</v>
      </c>
      <c r="I27" s="2">
        <v>177</v>
      </c>
      <c r="J27" s="2">
        <v>14.6</v>
      </c>
      <c r="K27" s="2">
        <v>14.2</v>
      </c>
      <c r="L27" s="2">
        <f t="shared" si="0"/>
        <v>0.40000000000000036</v>
      </c>
      <c r="M27" s="2">
        <v>44.3</v>
      </c>
      <c r="N27" s="2">
        <v>42.5</v>
      </c>
      <c r="O27" s="2">
        <f t="shared" si="1"/>
        <v>1.7999999999999972</v>
      </c>
      <c r="P27" s="2">
        <v>228</v>
      </c>
      <c r="Q27" s="2">
        <v>148</v>
      </c>
      <c r="R27" s="2">
        <f t="shared" si="2"/>
        <v>80</v>
      </c>
      <c r="S27" s="2">
        <v>9.4</v>
      </c>
      <c r="T27" s="2">
        <v>10.5</v>
      </c>
      <c r="U27" s="2">
        <f t="shared" si="3"/>
        <v>-1.0999999999999996</v>
      </c>
      <c r="V27" s="2">
        <v>13.9</v>
      </c>
      <c r="W27" s="2">
        <v>15.2</v>
      </c>
      <c r="X27" s="2">
        <f t="shared" si="4"/>
        <v>-1.2999999999999989</v>
      </c>
      <c r="Y27" s="2">
        <v>2707</v>
      </c>
      <c r="Z27" s="2">
        <v>97</v>
      </c>
      <c r="AA27" s="2">
        <v>60</v>
      </c>
      <c r="AB27" s="2">
        <v>238</v>
      </c>
      <c r="AC27" s="2">
        <v>1417</v>
      </c>
      <c r="AD27" s="2">
        <v>3.37</v>
      </c>
      <c r="AE27" s="2">
        <v>71.75</v>
      </c>
      <c r="AF27" s="2">
        <v>5.6000000000000001E-2</v>
      </c>
    </row>
    <row r="28" spans="1:32" x14ac:dyDescent="0.3">
      <c r="A28" s="2">
        <v>27</v>
      </c>
      <c r="B28" s="2" t="s">
        <v>43</v>
      </c>
      <c r="F28" s="2">
        <v>32</v>
      </c>
      <c r="G28" s="2" t="str">
        <f>LOOKUP(F28,{0,0;16,"16-19";20,"20-24";25,"25-29";30,"30-34";35,"35-39";40,"40-44";45,"45-49";50,"50-54";55,"55-59";60,"60-64"})</f>
        <v>30-34</v>
      </c>
      <c r="H28" s="2">
        <v>78</v>
      </c>
      <c r="I28" s="2">
        <v>175</v>
      </c>
      <c r="J28" s="2">
        <v>15.5</v>
      </c>
      <c r="K28" s="2">
        <v>14.6</v>
      </c>
      <c r="L28" s="2">
        <f t="shared" si="0"/>
        <v>0.90000000000000036</v>
      </c>
      <c r="M28" s="2">
        <v>44.7</v>
      </c>
      <c r="N28" s="2">
        <v>42.9</v>
      </c>
      <c r="O28" s="2">
        <f t="shared" si="1"/>
        <v>1.8000000000000043</v>
      </c>
      <c r="P28" s="2">
        <v>254</v>
      </c>
      <c r="Q28" s="2">
        <v>197</v>
      </c>
      <c r="R28" s="2">
        <f t="shared" si="2"/>
        <v>57</v>
      </c>
      <c r="S28" s="2">
        <v>11.5</v>
      </c>
      <c r="T28" s="2">
        <v>11.8</v>
      </c>
      <c r="U28" s="2">
        <f t="shared" si="3"/>
        <v>-0.30000000000000071</v>
      </c>
      <c r="V28" s="2">
        <v>10.7</v>
      </c>
      <c r="W28" s="2">
        <v>11.8</v>
      </c>
      <c r="X28" s="2">
        <f t="shared" si="4"/>
        <v>-1.1000000000000014</v>
      </c>
      <c r="Y28" s="2">
        <v>2823</v>
      </c>
      <c r="Z28" s="2">
        <v>125</v>
      </c>
      <c r="AA28" s="2">
        <v>58</v>
      </c>
      <c r="AB28" s="2">
        <v>244</v>
      </c>
      <c r="AC28" s="2">
        <v>1587</v>
      </c>
      <c r="AD28" s="2">
        <v>3.87</v>
      </c>
      <c r="AE28" s="2">
        <v>75.930000000000007</v>
      </c>
      <c r="AF28" s="2">
        <v>6.6000000000000003E-2</v>
      </c>
    </row>
    <row r="29" spans="1:32" x14ac:dyDescent="0.3">
      <c r="A29" s="2">
        <v>28</v>
      </c>
      <c r="B29" s="2" t="s">
        <v>43</v>
      </c>
      <c r="F29" s="2">
        <v>33</v>
      </c>
      <c r="G29" s="2" t="str">
        <f>LOOKUP(F29,{0,0;16,"16-19";20,"20-24";25,"25-29";30,"30-34";35,"35-39";40,"40-44";45,"45-49";50,"50-54";55,"55-59";60,"60-64"})</f>
        <v>30-34</v>
      </c>
      <c r="H29" s="2">
        <v>71</v>
      </c>
      <c r="I29" s="2">
        <v>170</v>
      </c>
      <c r="J29" s="2">
        <v>14.5</v>
      </c>
      <c r="K29" s="2">
        <v>14</v>
      </c>
      <c r="L29" s="2">
        <f t="shared" si="0"/>
        <v>0.5</v>
      </c>
      <c r="M29" s="2">
        <v>41.8</v>
      </c>
      <c r="N29" s="2">
        <v>40.4</v>
      </c>
      <c r="O29" s="2">
        <f t="shared" si="1"/>
        <v>1.3999999999999986</v>
      </c>
      <c r="P29" s="2">
        <v>314</v>
      </c>
      <c r="Q29" s="2">
        <v>238</v>
      </c>
      <c r="R29" s="2">
        <f t="shared" si="2"/>
        <v>76</v>
      </c>
      <c r="S29" s="2">
        <v>10.1</v>
      </c>
      <c r="T29" s="2">
        <v>10.3</v>
      </c>
      <c r="U29" s="2">
        <f t="shared" si="3"/>
        <v>-0.20000000000000107</v>
      </c>
      <c r="V29" s="2">
        <v>11.2</v>
      </c>
      <c r="W29" s="2">
        <v>12.3</v>
      </c>
      <c r="X29" s="2">
        <f t="shared" si="4"/>
        <v>-1.1000000000000014</v>
      </c>
      <c r="Y29" s="2">
        <v>2001</v>
      </c>
      <c r="Z29" s="2">
        <v>124</v>
      </c>
      <c r="AA29" s="2">
        <v>54</v>
      </c>
      <c r="AB29" s="2">
        <v>238</v>
      </c>
      <c r="AC29" s="2">
        <v>1946</v>
      </c>
      <c r="AD29" s="2">
        <v>4.63</v>
      </c>
      <c r="AE29" s="2">
        <v>97.99</v>
      </c>
      <c r="AF29" s="2">
        <v>8.5000000000000006E-2</v>
      </c>
    </row>
    <row r="30" spans="1:32" x14ac:dyDescent="0.3">
      <c r="A30" s="2">
        <v>29</v>
      </c>
      <c r="B30" s="2" t="s">
        <v>43</v>
      </c>
      <c r="F30" s="2">
        <v>27</v>
      </c>
      <c r="G30" s="2" t="str">
        <f>LOOKUP(F30,{0,0;16,"16-19";20,"20-24";25,"25-29";30,"30-34";35,"35-39";40,"40-44";45,"45-49";50,"50-54";55,"55-59";60,"60-64"})</f>
        <v>25-29</v>
      </c>
      <c r="H30" s="2">
        <v>79</v>
      </c>
      <c r="I30" s="2">
        <v>172</v>
      </c>
      <c r="J30" s="2">
        <v>15</v>
      </c>
      <c r="K30" s="2">
        <v>14</v>
      </c>
      <c r="L30" s="2">
        <f t="shared" si="0"/>
        <v>1</v>
      </c>
      <c r="M30" s="2">
        <v>49.1</v>
      </c>
      <c r="N30" s="2">
        <v>47.6</v>
      </c>
      <c r="O30" s="2">
        <f t="shared" si="1"/>
        <v>1.5</v>
      </c>
      <c r="P30" s="2">
        <v>214</v>
      </c>
      <c r="Q30" s="2">
        <v>157</v>
      </c>
      <c r="R30" s="2">
        <f t="shared" si="2"/>
        <v>57</v>
      </c>
      <c r="S30" s="2">
        <v>9</v>
      </c>
      <c r="T30" s="2">
        <v>9.9</v>
      </c>
      <c r="U30" s="2">
        <f t="shared" si="3"/>
        <v>-0.90000000000000036</v>
      </c>
      <c r="V30" s="2">
        <v>14.3</v>
      </c>
      <c r="W30" s="2">
        <v>15.1</v>
      </c>
      <c r="X30" s="2">
        <f t="shared" si="4"/>
        <v>-0.79999999999999893</v>
      </c>
      <c r="Y30" s="2">
        <v>2852</v>
      </c>
      <c r="Z30" s="2">
        <v>118</v>
      </c>
      <c r="AA30" s="2">
        <v>42</v>
      </c>
      <c r="AB30" s="2">
        <v>242</v>
      </c>
      <c r="AC30" s="2">
        <v>1639</v>
      </c>
      <c r="AD30" s="2">
        <v>3.96</v>
      </c>
      <c r="AE30" s="2">
        <v>73.84</v>
      </c>
      <c r="AF30" s="2">
        <v>9.4E-2</v>
      </c>
    </row>
    <row r="31" spans="1:32" x14ac:dyDescent="0.3">
      <c r="A31" s="2">
        <v>30</v>
      </c>
      <c r="B31" s="2" t="s">
        <v>43</v>
      </c>
      <c r="F31" s="2">
        <v>28</v>
      </c>
      <c r="G31" s="2" t="str">
        <f>LOOKUP(F31,{0,0;16,"16-19";20,"20-24";25,"25-29";30,"30-34";35,"35-39";40,"40-44";45,"45-49";50,"50-54";55,"55-59";60,"60-64"})</f>
        <v>25-29</v>
      </c>
      <c r="H31" s="2">
        <v>77</v>
      </c>
      <c r="I31" s="2">
        <v>170</v>
      </c>
      <c r="J31" s="2">
        <v>15.7</v>
      </c>
      <c r="K31" s="2">
        <v>15</v>
      </c>
      <c r="L31" s="2">
        <f t="shared" si="0"/>
        <v>0.69999999999999929</v>
      </c>
      <c r="M31" s="2">
        <v>45.8</v>
      </c>
      <c r="N31" s="2">
        <v>43.9</v>
      </c>
      <c r="O31" s="2">
        <f t="shared" si="1"/>
        <v>1.8999999999999986</v>
      </c>
      <c r="P31" s="2">
        <v>211</v>
      </c>
      <c r="Q31" s="2">
        <v>130</v>
      </c>
      <c r="R31" s="2">
        <f t="shared" si="2"/>
        <v>81</v>
      </c>
      <c r="S31" s="2">
        <v>11</v>
      </c>
      <c r="T31" s="2">
        <v>11.1</v>
      </c>
      <c r="U31" s="2">
        <f t="shared" si="3"/>
        <v>-9.9999999999999645E-2</v>
      </c>
      <c r="V31" s="2">
        <v>12.5</v>
      </c>
      <c r="W31" s="2">
        <v>13.7</v>
      </c>
      <c r="X31" s="2">
        <f t="shared" si="4"/>
        <v>-1.1999999999999993</v>
      </c>
      <c r="Y31" s="2">
        <v>2763</v>
      </c>
      <c r="Z31" s="2">
        <v>121</v>
      </c>
      <c r="AA31" s="2">
        <v>40</v>
      </c>
      <c r="AB31" s="2">
        <v>243</v>
      </c>
      <c r="AC31" s="2">
        <v>1355</v>
      </c>
      <c r="AD31" s="2">
        <v>3.29</v>
      </c>
      <c r="AE31" s="2">
        <v>72.45</v>
      </c>
      <c r="AF31" s="2">
        <v>8.2000000000000003E-2</v>
      </c>
    </row>
    <row r="32" spans="1:32" x14ac:dyDescent="0.3">
      <c r="A32" s="2">
        <v>31</v>
      </c>
      <c r="B32" s="2" t="s">
        <v>81</v>
      </c>
      <c r="F32" s="2">
        <v>26</v>
      </c>
      <c r="G32" s="2" t="str">
        <f>LOOKUP(F32,{0,0;16,"16-19";20,"20-24";25,"25-29";30,"30-34";35,"35-39";40,"40-44";45,"45-49";50,"50-54";55,"55-59";60,"60-64"})</f>
        <v>25-29</v>
      </c>
      <c r="H32" s="2">
        <v>68</v>
      </c>
      <c r="I32" s="2">
        <v>170</v>
      </c>
      <c r="J32" s="2">
        <v>14.3</v>
      </c>
      <c r="K32" s="2">
        <v>14</v>
      </c>
      <c r="L32" s="2">
        <f t="shared" si="0"/>
        <v>0.30000000000000071</v>
      </c>
      <c r="M32" s="2">
        <v>38.700000000000003</v>
      </c>
      <c r="N32" s="2">
        <v>37.6</v>
      </c>
      <c r="O32" s="2">
        <f t="shared" si="1"/>
        <v>1.1000000000000014</v>
      </c>
      <c r="P32" s="2">
        <v>278</v>
      </c>
      <c r="Q32" s="2">
        <v>180</v>
      </c>
      <c r="R32" s="2">
        <f t="shared" si="2"/>
        <v>98</v>
      </c>
      <c r="S32" s="2">
        <v>11.3</v>
      </c>
      <c r="T32" s="2">
        <v>11.5</v>
      </c>
      <c r="U32" s="2">
        <f t="shared" si="3"/>
        <v>-0.19999999999999929</v>
      </c>
      <c r="V32" s="2">
        <v>12.8</v>
      </c>
      <c r="W32" s="2">
        <v>13.9</v>
      </c>
      <c r="X32" s="2">
        <f t="shared" si="4"/>
        <v>-1.0999999999999996</v>
      </c>
      <c r="Y32" s="2">
        <v>2918</v>
      </c>
      <c r="Z32" s="2">
        <v>75</v>
      </c>
      <c r="AA32" s="2">
        <v>73</v>
      </c>
      <c r="AB32" s="2">
        <v>349</v>
      </c>
      <c r="AC32" s="2">
        <v>1208</v>
      </c>
      <c r="AD32" s="2">
        <v>4.22</v>
      </c>
      <c r="AE32" s="2">
        <v>63.15</v>
      </c>
      <c r="AF32" s="2">
        <v>5.7000000000000002E-2</v>
      </c>
    </row>
    <row r="33" spans="1:32" x14ac:dyDescent="0.3">
      <c r="A33" s="2">
        <v>32</v>
      </c>
      <c r="B33" s="2" t="s">
        <v>81</v>
      </c>
      <c r="F33" s="2">
        <v>19</v>
      </c>
      <c r="G33" s="2" t="str">
        <f>LOOKUP(F33,{0,0;16,"16-19";20,"20-24";25,"25-29";30,"30-34";35,"35-39";40,"40-44";45,"45-49";50,"50-54";55,"55-59";60,"60-64"})</f>
        <v>16-19</v>
      </c>
      <c r="H33" s="2">
        <v>73</v>
      </c>
      <c r="I33" s="2">
        <v>172</v>
      </c>
      <c r="J33" s="2">
        <v>14.1</v>
      </c>
      <c r="K33" s="2">
        <v>13.7</v>
      </c>
      <c r="L33" s="2">
        <f t="shared" si="0"/>
        <v>0.40000000000000036</v>
      </c>
      <c r="M33" s="2">
        <v>42.2</v>
      </c>
      <c r="N33" s="2">
        <v>40.6</v>
      </c>
      <c r="O33" s="2">
        <f t="shared" si="1"/>
        <v>1.6000000000000014</v>
      </c>
      <c r="P33" s="2">
        <v>449</v>
      </c>
      <c r="Q33" s="2">
        <v>347</v>
      </c>
      <c r="R33" s="2">
        <f t="shared" si="2"/>
        <v>102</v>
      </c>
      <c r="S33" s="2">
        <v>8.9</v>
      </c>
      <c r="T33" s="2">
        <v>9</v>
      </c>
      <c r="U33" s="2">
        <f t="shared" si="3"/>
        <v>-9.9999999999999645E-2</v>
      </c>
      <c r="V33" s="2">
        <v>10.5</v>
      </c>
      <c r="W33" s="2">
        <v>10.9</v>
      </c>
      <c r="X33" s="2">
        <f t="shared" si="4"/>
        <v>-0.40000000000000036</v>
      </c>
      <c r="Y33" s="2">
        <v>1869</v>
      </c>
      <c r="Z33" s="2">
        <v>79</v>
      </c>
      <c r="AA33" s="2">
        <v>47</v>
      </c>
      <c r="AB33" s="2">
        <v>327</v>
      </c>
      <c r="AC33" s="2">
        <v>739</v>
      </c>
      <c r="AD33" s="2">
        <v>2.41</v>
      </c>
      <c r="AE33" s="2">
        <v>32.43</v>
      </c>
      <c r="AF33" s="2">
        <v>5.0999999999999997E-2</v>
      </c>
    </row>
    <row r="34" spans="1:32" x14ac:dyDescent="0.3">
      <c r="A34" s="2">
        <v>33</v>
      </c>
      <c r="B34" s="2" t="s">
        <v>81</v>
      </c>
      <c r="F34" s="2">
        <v>23</v>
      </c>
      <c r="G34" s="2" t="str">
        <f>LOOKUP(F34,{0,0;16,"16-19";20,"20-24";25,"25-29";30,"30-34";35,"35-39";40,"40-44";45,"45-49";50,"50-54";55,"55-59";60,"60-64"})</f>
        <v>20-24</v>
      </c>
      <c r="H34" s="2">
        <v>86</v>
      </c>
      <c r="I34" s="2">
        <v>181</v>
      </c>
      <c r="J34" s="2">
        <v>16.3</v>
      </c>
      <c r="K34" s="2">
        <v>16</v>
      </c>
      <c r="L34" s="2">
        <f t="shared" si="0"/>
        <v>0.30000000000000071</v>
      </c>
      <c r="M34" s="2">
        <v>46.6</v>
      </c>
      <c r="N34" s="2">
        <v>44</v>
      </c>
      <c r="O34" s="2">
        <f t="shared" si="1"/>
        <v>2.6000000000000014</v>
      </c>
      <c r="P34" s="2">
        <v>244</v>
      </c>
      <c r="Q34" s="2">
        <v>177</v>
      </c>
      <c r="R34" s="2">
        <f t="shared" si="2"/>
        <v>67</v>
      </c>
      <c r="S34" s="2">
        <v>10.3</v>
      </c>
      <c r="T34" s="2">
        <v>10.5</v>
      </c>
      <c r="U34" s="2">
        <f t="shared" si="3"/>
        <v>-0.19999999999999929</v>
      </c>
      <c r="V34" s="2">
        <v>12.6</v>
      </c>
      <c r="W34" s="2">
        <v>12.9</v>
      </c>
      <c r="X34" s="2">
        <f t="shared" si="4"/>
        <v>-0.30000000000000071</v>
      </c>
      <c r="Y34" s="2">
        <v>3414</v>
      </c>
      <c r="Z34" s="2">
        <v>75</v>
      </c>
      <c r="AA34" s="2">
        <v>90</v>
      </c>
      <c r="AB34" s="2">
        <v>325</v>
      </c>
      <c r="AC34" s="2">
        <v>1053</v>
      </c>
      <c r="AD34" s="2">
        <v>3.86</v>
      </c>
      <c r="AE34" s="2">
        <v>53.76</v>
      </c>
      <c r="AF34" s="2">
        <v>4.2000000000000003E-2</v>
      </c>
    </row>
    <row r="35" spans="1:32" x14ac:dyDescent="0.3">
      <c r="A35" s="2">
        <v>34</v>
      </c>
      <c r="B35" s="2" t="s">
        <v>81</v>
      </c>
      <c r="F35" s="2">
        <v>23</v>
      </c>
      <c r="G35" s="2" t="str">
        <f>LOOKUP(F35,{0,0;16,"16-19";20,"20-24";25,"25-29";30,"30-34";35,"35-39";40,"40-44";45,"45-49";50,"50-54";55,"55-59";60,"60-64"})</f>
        <v>20-24</v>
      </c>
      <c r="H35" s="2">
        <v>68</v>
      </c>
      <c r="I35" s="2">
        <v>178</v>
      </c>
      <c r="J35" s="2">
        <v>14.6</v>
      </c>
      <c r="K35" s="2">
        <v>14.1</v>
      </c>
      <c r="L35" s="2">
        <f t="shared" si="0"/>
        <v>0.5</v>
      </c>
      <c r="M35" s="2">
        <v>42.8</v>
      </c>
      <c r="N35" s="2">
        <v>41.5</v>
      </c>
      <c r="O35" s="2">
        <f t="shared" si="1"/>
        <v>1.2999999999999972</v>
      </c>
      <c r="P35" s="2">
        <v>282</v>
      </c>
      <c r="Q35" s="2">
        <v>213</v>
      </c>
      <c r="R35" s="2">
        <f t="shared" si="2"/>
        <v>69</v>
      </c>
      <c r="S35" s="2">
        <v>9.6</v>
      </c>
      <c r="T35" s="2">
        <v>10.3</v>
      </c>
      <c r="U35" s="2">
        <f t="shared" si="3"/>
        <v>-0.70000000000000107</v>
      </c>
      <c r="V35" s="2">
        <v>11.7</v>
      </c>
      <c r="W35" s="2">
        <v>12.6</v>
      </c>
      <c r="X35" s="2">
        <f t="shared" si="4"/>
        <v>-0.90000000000000036</v>
      </c>
      <c r="Y35" s="2">
        <v>2779</v>
      </c>
      <c r="Z35" s="2">
        <v>75</v>
      </c>
      <c r="AA35" s="2">
        <v>73</v>
      </c>
      <c r="AB35" s="2">
        <v>326</v>
      </c>
      <c r="AC35" s="2">
        <v>1186</v>
      </c>
      <c r="AD35" s="2">
        <v>3.86</v>
      </c>
      <c r="AE35" s="2">
        <v>55.9</v>
      </c>
      <c r="AF35" s="2">
        <v>5.1999999999999998E-2</v>
      </c>
    </row>
    <row r="36" spans="1:32" x14ac:dyDescent="0.3">
      <c r="A36" s="2">
        <v>35</v>
      </c>
      <c r="B36" s="2" t="s">
        <v>81</v>
      </c>
      <c r="F36" s="2">
        <v>40</v>
      </c>
      <c r="G36" s="2" t="str">
        <f>LOOKUP(F36,{0,0;16,"16-19";20,"20-24";25,"25-29";30,"30-34";35,"35-39";40,"40-44";45,"45-49";50,"50-54";55,"55-59";60,"60-64"})</f>
        <v>40-44</v>
      </c>
      <c r="H36" s="2">
        <v>85</v>
      </c>
      <c r="I36" s="2">
        <v>172</v>
      </c>
      <c r="J36" s="2">
        <v>16</v>
      </c>
      <c r="K36" s="2">
        <v>15.5</v>
      </c>
      <c r="L36" s="2">
        <f t="shared" si="0"/>
        <v>0.5</v>
      </c>
      <c r="M36" s="2">
        <v>46.9</v>
      </c>
      <c r="N36" s="2">
        <v>46.5</v>
      </c>
      <c r="O36" s="2">
        <f t="shared" si="1"/>
        <v>0.39999999999999858</v>
      </c>
      <c r="P36" s="2">
        <v>293</v>
      </c>
      <c r="Q36" s="2">
        <v>213</v>
      </c>
      <c r="R36" s="2">
        <f t="shared" si="2"/>
        <v>80</v>
      </c>
      <c r="S36" s="2">
        <v>8.6999999999999993</v>
      </c>
      <c r="T36" s="2">
        <v>9.8000000000000007</v>
      </c>
      <c r="U36" s="2">
        <f t="shared" si="3"/>
        <v>-1.1000000000000014</v>
      </c>
      <c r="V36" s="2">
        <v>9.8000000000000007</v>
      </c>
      <c r="W36" s="2">
        <v>10.5</v>
      </c>
      <c r="X36" s="2">
        <f t="shared" si="4"/>
        <v>-0.69999999999999929</v>
      </c>
      <c r="Y36" s="2">
        <v>2650</v>
      </c>
      <c r="Z36" s="2">
        <v>75</v>
      </c>
      <c r="AA36" s="2">
        <v>69</v>
      </c>
      <c r="AB36" s="2">
        <v>326</v>
      </c>
      <c r="AC36" s="2">
        <v>1126</v>
      </c>
      <c r="AD36" s="2">
        <v>3.67</v>
      </c>
      <c r="AE36" s="2">
        <v>57.6</v>
      </c>
      <c r="AF36" s="2">
        <v>5.2999999999999999E-2</v>
      </c>
    </row>
    <row r="37" spans="1:32" x14ac:dyDescent="0.3">
      <c r="A37" s="2">
        <v>36</v>
      </c>
      <c r="B37" s="2" t="s">
        <v>81</v>
      </c>
      <c r="F37" s="2">
        <v>26</v>
      </c>
      <c r="G37" s="2" t="str">
        <f>LOOKUP(F37,{0,0;16,"16-19";20,"20-24";25,"25-29";30,"30-34";35,"35-39";40,"40-44";45,"45-49";50,"50-54";55,"55-59";60,"60-64"})</f>
        <v>25-29</v>
      </c>
      <c r="H37" s="2">
        <v>75</v>
      </c>
      <c r="I37" s="2">
        <v>174</v>
      </c>
      <c r="J37" s="2">
        <v>15</v>
      </c>
      <c r="K37" s="2">
        <v>14.5</v>
      </c>
      <c r="L37" s="2">
        <f t="shared" si="0"/>
        <v>0.5</v>
      </c>
      <c r="M37" s="2">
        <v>47.4</v>
      </c>
      <c r="N37" s="2">
        <v>47</v>
      </c>
      <c r="O37" s="2">
        <f t="shared" si="1"/>
        <v>0.39999999999999858</v>
      </c>
      <c r="P37" s="2">
        <v>279</v>
      </c>
      <c r="Q37" s="2">
        <v>204</v>
      </c>
      <c r="R37" s="2">
        <f t="shared" si="2"/>
        <v>75</v>
      </c>
      <c r="S37" s="2">
        <v>8.6999999999999993</v>
      </c>
      <c r="T37" s="2">
        <v>9.3000000000000007</v>
      </c>
      <c r="U37" s="2">
        <f t="shared" si="3"/>
        <v>-0.60000000000000142</v>
      </c>
      <c r="V37" s="2">
        <v>9.1</v>
      </c>
      <c r="W37" s="2">
        <v>10</v>
      </c>
      <c r="X37" s="2">
        <f t="shared" si="4"/>
        <v>-0.90000000000000036</v>
      </c>
      <c r="Y37" s="2">
        <v>2916</v>
      </c>
      <c r="Z37" s="2">
        <v>79</v>
      </c>
      <c r="AA37" s="2">
        <v>73</v>
      </c>
      <c r="AB37" s="2">
        <v>349</v>
      </c>
      <c r="AC37" s="2">
        <v>1188</v>
      </c>
      <c r="AD37" s="2">
        <v>4.1399999999999997</v>
      </c>
      <c r="AE37" s="2">
        <v>58.9</v>
      </c>
      <c r="AF37" s="2">
        <v>5.6000000000000001E-2</v>
      </c>
    </row>
    <row r="38" spans="1:32" x14ac:dyDescent="0.3">
      <c r="A38" s="2">
        <v>37</v>
      </c>
      <c r="B38" s="2" t="s">
        <v>81</v>
      </c>
      <c r="F38" s="2">
        <v>24</v>
      </c>
      <c r="G38" s="2" t="str">
        <f>LOOKUP(F38,{0,0;16,"16-19";20,"20-24";25,"25-29";30,"30-34";35,"35-39";40,"40-44";45,"45-49";50,"50-54";55,"55-59";60,"60-64"})</f>
        <v>20-24</v>
      </c>
      <c r="H38" s="2">
        <v>72</v>
      </c>
      <c r="I38" s="2">
        <v>167</v>
      </c>
      <c r="J38" s="2">
        <v>14.3</v>
      </c>
      <c r="K38" s="2">
        <v>14</v>
      </c>
      <c r="L38" s="2">
        <f t="shared" si="0"/>
        <v>0.30000000000000071</v>
      </c>
      <c r="M38" s="2">
        <v>43.9</v>
      </c>
      <c r="N38" s="2">
        <v>43.6</v>
      </c>
      <c r="O38" s="2">
        <f t="shared" si="1"/>
        <v>0.29999999999999716</v>
      </c>
      <c r="P38" s="2">
        <v>298</v>
      </c>
      <c r="Q38" s="2">
        <v>212</v>
      </c>
      <c r="R38" s="2">
        <f t="shared" si="2"/>
        <v>86</v>
      </c>
      <c r="S38" s="2">
        <v>11.3</v>
      </c>
      <c r="T38" s="2">
        <v>11.7</v>
      </c>
      <c r="U38" s="2">
        <f t="shared" si="3"/>
        <v>-0.39999999999999858</v>
      </c>
      <c r="V38" s="2">
        <v>13.6</v>
      </c>
      <c r="W38" s="2">
        <v>13.8</v>
      </c>
      <c r="X38" s="2">
        <f t="shared" si="4"/>
        <v>-0.20000000000000107</v>
      </c>
      <c r="Y38" s="2">
        <v>2772</v>
      </c>
      <c r="Z38" s="2">
        <v>75</v>
      </c>
      <c r="AA38" s="2">
        <v>69</v>
      </c>
      <c r="AB38" s="2">
        <v>349</v>
      </c>
      <c r="AC38" s="2">
        <v>1170</v>
      </c>
      <c r="AD38" s="2">
        <v>4.08</v>
      </c>
      <c r="AE38" s="2">
        <v>57.8</v>
      </c>
      <c r="AF38" s="2">
        <v>5.8999999999999997E-2</v>
      </c>
    </row>
    <row r="39" spans="1:32" x14ac:dyDescent="0.3">
      <c r="A39" s="2">
        <v>38</v>
      </c>
      <c r="B39" s="2" t="s">
        <v>81</v>
      </c>
      <c r="F39" s="2">
        <v>26</v>
      </c>
      <c r="G39" s="2" t="str">
        <f>LOOKUP(F39,{0,0;16,"16-19";20,"20-24";25,"25-29";30,"30-34";35,"35-39";40,"40-44";45,"45-49";50,"50-54";55,"55-59";60,"60-64"})</f>
        <v>25-29</v>
      </c>
      <c r="H39" s="2">
        <v>65</v>
      </c>
      <c r="I39" s="2">
        <v>166</v>
      </c>
      <c r="J39" s="2">
        <v>15.2</v>
      </c>
      <c r="K39" s="2">
        <v>14.9</v>
      </c>
      <c r="L39" s="2">
        <f t="shared" si="0"/>
        <v>0.29999999999999893</v>
      </c>
      <c r="M39" s="2">
        <v>48.6</v>
      </c>
      <c r="N39" s="2">
        <v>46.8</v>
      </c>
      <c r="O39" s="2">
        <f t="shared" si="1"/>
        <v>1.8000000000000043</v>
      </c>
      <c r="P39" s="2">
        <v>298</v>
      </c>
      <c r="Q39" s="2">
        <v>217</v>
      </c>
      <c r="R39" s="2">
        <f t="shared" si="2"/>
        <v>81</v>
      </c>
      <c r="S39" s="2">
        <v>11.1</v>
      </c>
      <c r="T39" s="2">
        <v>11.8</v>
      </c>
      <c r="U39" s="2">
        <f t="shared" si="3"/>
        <v>-0.70000000000000107</v>
      </c>
      <c r="V39" s="2">
        <v>13.5</v>
      </c>
      <c r="W39" s="2">
        <v>15.1</v>
      </c>
      <c r="X39" s="2">
        <f t="shared" si="4"/>
        <v>-1.5999999999999996</v>
      </c>
      <c r="Y39" s="2">
        <v>2799</v>
      </c>
      <c r="Z39" s="2">
        <v>74</v>
      </c>
      <c r="AA39" s="2">
        <v>70</v>
      </c>
      <c r="AB39" s="2">
        <v>349</v>
      </c>
      <c r="AC39" s="2">
        <v>1221</v>
      </c>
      <c r="AD39" s="2">
        <v>4.26</v>
      </c>
      <c r="AE39" s="2">
        <v>59.1</v>
      </c>
      <c r="AF39" s="2">
        <v>0.06</v>
      </c>
    </row>
    <row r="40" spans="1:32" x14ac:dyDescent="0.3">
      <c r="A40" s="2">
        <v>39</v>
      </c>
      <c r="B40" s="2" t="s">
        <v>81</v>
      </c>
      <c r="F40" s="2">
        <v>32</v>
      </c>
      <c r="G40" s="2" t="str">
        <f>LOOKUP(F40,{0,0;16,"16-19";20,"20-24";25,"25-29";30,"30-34";35,"35-39";40,"40-44";45,"45-49";50,"50-54";55,"55-59";60,"60-64"})</f>
        <v>30-34</v>
      </c>
      <c r="H40" s="2">
        <v>69</v>
      </c>
      <c r="I40" s="2">
        <v>173</v>
      </c>
      <c r="J40" s="2">
        <v>13.8</v>
      </c>
      <c r="K40" s="2">
        <v>13.8</v>
      </c>
      <c r="L40" s="2">
        <f t="shared" si="0"/>
        <v>0</v>
      </c>
      <c r="M40" s="2">
        <v>43.7</v>
      </c>
      <c r="N40" s="2">
        <v>43</v>
      </c>
      <c r="O40" s="2">
        <f t="shared" si="1"/>
        <v>0.70000000000000284</v>
      </c>
      <c r="P40" s="2">
        <v>315</v>
      </c>
      <c r="Q40" s="2">
        <v>231</v>
      </c>
      <c r="R40" s="2">
        <f t="shared" si="2"/>
        <v>84</v>
      </c>
      <c r="S40" s="2">
        <v>9.1</v>
      </c>
      <c r="T40" s="2">
        <v>9.5</v>
      </c>
      <c r="U40" s="2">
        <f t="shared" si="3"/>
        <v>-0.40000000000000036</v>
      </c>
      <c r="V40" s="2">
        <v>11.1</v>
      </c>
      <c r="W40" s="2">
        <v>9.6999999999999993</v>
      </c>
      <c r="X40" s="2">
        <f t="shared" si="4"/>
        <v>1.4000000000000004</v>
      </c>
      <c r="Y40" s="2">
        <v>2625</v>
      </c>
      <c r="Z40" s="2">
        <v>75</v>
      </c>
      <c r="AA40" s="2">
        <v>65</v>
      </c>
      <c r="AB40" s="2">
        <v>350</v>
      </c>
      <c r="AC40" s="2">
        <v>1221</v>
      </c>
      <c r="AD40" s="2">
        <v>4.2699999999999996</v>
      </c>
      <c r="AE40" s="2">
        <v>60</v>
      </c>
      <c r="AF40" s="2">
        <v>6.5000000000000002E-2</v>
      </c>
    </row>
    <row r="41" spans="1:32" x14ac:dyDescent="0.3">
      <c r="A41" s="2">
        <v>40</v>
      </c>
      <c r="B41" s="2" t="s">
        <v>81</v>
      </c>
      <c r="F41" s="2">
        <v>32</v>
      </c>
      <c r="G41" s="2" t="str">
        <f>LOOKUP(F41,{0,0;16,"16-19";20,"20-24";25,"25-29";30,"30-34";35,"35-39";40,"40-44";45,"45-49";50,"50-54";55,"55-59";60,"60-64"})</f>
        <v>30-34</v>
      </c>
      <c r="H41" s="2">
        <v>83</v>
      </c>
      <c r="I41" s="2">
        <v>175</v>
      </c>
      <c r="J41" s="2">
        <v>13.8</v>
      </c>
      <c r="K41" s="2">
        <v>13.5</v>
      </c>
      <c r="L41" s="2">
        <f t="shared" si="0"/>
        <v>0.30000000000000071</v>
      </c>
      <c r="M41" s="2">
        <v>44.7</v>
      </c>
      <c r="N41" s="2">
        <v>42</v>
      </c>
      <c r="O41" s="2">
        <f t="shared" si="1"/>
        <v>2.7000000000000028</v>
      </c>
      <c r="P41" s="2">
        <v>233</v>
      </c>
      <c r="Q41" s="2">
        <v>187</v>
      </c>
      <c r="R41" s="2">
        <f t="shared" si="2"/>
        <v>46</v>
      </c>
      <c r="S41" s="2">
        <v>11.6</v>
      </c>
      <c r="T41" s="2">
        <v>11.9</v>
      </c>
      <c r="U41" s="2">
        <f t="shared" si="3"/>
        <v>-0.30000000000000071</v>
      </c>
      <c r="V41" s="2">
        <v>14.4</v>
      </c>
      <c r="W41" s="2">
        <v>15.2</v>
      </c>
      <c r="X41" s="2">
        <f t="shared" si="4"/>
        <v>-0.79999999999999893</v>
      </c>
      <c r="Y41" s="2">
        <v>3532</v>
      </c>
      <c r="Z41" s="2">
        <v>75</v>
      </c>
      <c r="AA41" s="2">
        <v>89</v>
      </c>
      <c r="AB41" s="2">
        <v>348</v>
      </c>
      <c r="AC41" s="2">
        <v>1209</v>
      </c>
      <c r="AD41" s="2">
        <v>4.2</v>
      </c>
      <c r="AE41" s="2">
        <v>57</v>
      </c>
      <c r="AF41" s="2">
        <v>4.7E-2</v>
      </c>
    </row>
    <row r="42" spans="1:32" x14ac:dyDescent="0.3">
      <c r="A42" s="2">
        <v>41</v>
      </c>
      <c r="B42" s="2" t="s">
        <v>81</v>
      </c>
      <c r="F42" s="2">
        <v>25</v>
      </c>
      <c r="G42" s="2" t="str">
        <f>LOOKUP(F42,{0,0;16,"16-19";20,"20-24";25,"25-29";30,"30-34";35,"35-39";40,"40-44";45,"45-49";50,"50-54";55,"55-59";60,"60-64"})</f>
        <v>25-29</v>
      </c>
      <c r="H42" s="2">
        <v>60</v>
      </c>
      <c r="I42" s="2">
        <v>177</v>
      </c>
      <c r="J42" s="2">
        <v>15.6</v>
      </c>
      <c r="K42" s="2">
        <v>15</v>
      </c>
      <c r="L42" s="2">
        <f t="shared" si="0"/>
        <v>0.59999999999999964</v>
      </c>
      <c r="M42" s="2">
        <v>45.5</v>
      </c>
      <c r="N42" s="2">
        <v>45.2</v>
      </c>
      <c r="O42" s="2">
        <f t="shared" si="1"/>
        <v>0.29999999999999716</v>
      </c>
      <c r="P42" s="2">
        <v>245</v>
      </c>
      <c r="Q42" s="2">
        <v>164</v>
      </c>
      <c r="R42" s="2">
        <f t="shared" si="2"/>
        <v>81</v>
      </c>
      <c r="S42" s="2">
        <v>10.1</v>
      </c>
      <c r="T42" s="2">
        <v>10.5</v>
      </c>
      <c r="U42" s="2">
        <f t="shared" si="3"/>
        <v>-0.40000000000000036</v>
      </c>
      <c r="V42" s="2">
        <v>12.1</v>
      </c>
      <c r="W42" s="2">
        <v>13.3</v>
      </c>
      <c r="X42" s="2">
        <f t="shared" si="4"/>
        <v>-1.2000000000000011</v>
      </c>
      <c r="Y42" s="2">
        <v>3094</v>
      </c>
      <c r="Z42" s="2">
        <v>75</v>
      </c>
      <c r="AA42" s="2">
        <v>82</v>
      </c>
      <c r="AB42" s="2">
        <v>325</v>
      </c>
      <c r="AC42" s="2">
        <v>1089</v>
      </c>
      <c r="AD42" s="2">
        <v>3.53</v>
      </c>
      <c r="AE42" s="2">
        <v>56</v>
      </c>
      <c r="AF42" s="2">
        <v>4.2999999999999997E-2</v>
      </c>
    </row>
    <row r="43" spans="1:32" x14ac:dyDescent="0.3">
      <c r="A43" s="2">
        <v>42</v>
      </c>
      <c r="B43" s="2" t="s">
        <v>81</v>
      </c>
      <c r="F43" s="2">
        <v>30</v>
      </c>
      <c r="G43" s="2" t="str">
        <f>LOOKUP(F43,{0,0;16,"16-19";20,"20-24";25,"25-29";30,"30-34";35,"35-39";40,"40-44";45,"45-49";50,"50-54";55,"55-59";60,"60-64"})</f>
        <v>30-34</v>
      </c>
      <c r="H43" s="2">
        <v>73</v>
      </c>
      <c r="I43" s="2">
        <v>175</v>
      </c>
      <c r="J43" s="2">
        <v>15.4</v>
      </c>
      <c r="K43" s="2">
        <v>15.1</v>
      </c>
      <c r="L43" s="2">
        <f t="shared" si="0"/>
        <v>0.30000000000000071</v>
      </c>
      <c r="M43" s="2">
        <v>43.2</v>
      </c>
      <c r="N43" s="2">
        <v>42.6</v>
      </c>
      <c r="O43" s="2">
        <f t="shared" si="1"/>
        <v>0.60000000000000142</v>
      </c>
      <c r="P43" s="2">
        <v>253</v>
      </c>
      <c r="Q43" s="2">
        <v>188</v>
      </c>
      <c r="R43" s="2">
        <f t="shared" si="2"/>
        <v>65</v>
      </c>
      <c r="S43" s="2">
        <v>10.7</v>
      </c>
      <c r="T43" s="2">
        <v>11.2</v>
      </c>
      <c r="U43" s="2">
        <f t="shared" si="3"/>
        <v>-0.5</v>
      </c>
      <c r="V43" s="2">
        <v>15.3</v>
      </c>
      <c r="W43" s="2">
        <v>15.5</v>
      </c>
      <c r="X43" s="2">
        <f t="shared" si="4"/>
        <v>-0.19999999999999929</v>
      </c>
      <c r="Y43" s="2">
        <v>3096</v>
      </c>
      <c r="Z43" s="2">
        <v>75</v>
      </c>
      <c r="AA43" s="2">
        <v>82</v>
      </c>
      <c r="AB43" s="2">
        <v>349</v>
      </c>
      <c r="AC43" s="2">
        <v>973</v>
      </c>
      <c r="AD43" s="2">
        <v>3.39</v>
      </c>
      <c r="AE43" s="2">
        <v>50</v>
      </c>
      <c r="AF43" s="2">
        <v>4.1000000000000002E-2</v>
      </c>
    </row>
    <row r="44" spans="1:32" x14ac:dyDescent="0.3">
      <c r="A44" s="2">
        <v>43</v>
      </c>
      <c r="B44" s="2" t="s">
        <v>81</v>
      </c>
      <c r="F44" s="2">
        <v>19</v>
      </c>
      <c r="G44" s="2" t="str">
        <f>LOOKUP(F44,{0,0;16,"16-19";20,"20-24";25,"25-29";30,"30-34";35,"35-39";40,"40-44";45,"45-49";50,"50-54";55,"55-59";60,"60-64"})</f>
        <v>16-19</v>
      </c>
      <c r="H44" s="2">
        <v>96</v>
      </c>
      <c r="I44" s="2">
        <v>180</v>
      </c>
      <c r="J44" s="2">
        <v>16.8</v>
      </c>
      <c r="K44" s="2">
        <v>16.5</v>
      </c>
      <c r="L44" s="2">
        <f t="shared" si="0"/>
        <v>0.30000000000000071</v>
      </c>
      <c r="M44" s="2">
        <v>47.8</v>
      </c>
      <c r="N44" s="2">
        <v>46.8</v>
      </c>
      <c r="O44" s="2">
        <f t="shared" si="1"/>
        <v>1</v>
      </c>
      <c r="P44" s="2">
        <v>453</v>
      </c>
      <c r="Q44" s="2">
        <v>370</v>
      </c>
      <c r="R44" s="2">
        <f t="shared" si="2"/>
        <v>83</v>
      </c>
      <c r="S44" s="2">
        <v>8.8000000000000007</v>
      </c>
      <c r="T44" s="2">
        <v>9.1</v>
      </c>
      <c r="U44" s="2">
        <f t="shared" si="3"/>
        <v>-0.29999999999999893</v>
      </c>
      <c r="V44" s="2">
        <v>10.6</v>
      </c>
      <c r="W44" s="2">
        <v>10.6</v>
      </c>
      <c r="X44" s="2">
        <f t="shared" si="4"/>
        <v>0</v>
      </c>
      <c r="Y44" s="2">
        <v>2037</v>
      </c>
      <c r="Z44" s="2">
        <v>75</v>
      </c>
      <c r="AA44" s="2">
        <v>52</v>
      </c>
      <c r="AB44" s="2">
        <v>327</v>
      </c>
      <c r="AC44" s="2">
        <v>1312</v>
      </c>
      <c r="AD44" s="2">
        <v>4.29</v>
      </c>
      <c r="AE44" s="2">
        <v>51</v>
      </c>
      <c r="AF44" s="2">
        <v>8.2000000000000003E-2</v>
      </c>
    </row>
    <row r="45" spans="1:32" x14ac:dyDescent="0.3">
      <c r="A45" s="2">
        <v>44</v>
      </c>
      <c r="B45" s="2" t="s">
        <v>81</v>
      </c>
      <c r="F45" s="2">
        <v>22</v>
      </c>
      <c r="G45" s="2" t="str">
        <f>LOOKUP(F45,{0,0;16,"16-19";20,"20-24";25,"25-29";30,"30-34";35,"35-39";40,"40-44";45,"45-49";50,"50-54";55,"55-59";60,"60-64"})</f>
        <v>20-24</v>
      </c>
      <c r="H45" s="2">
        <v>60</v>
      </c>
      <c r="I45" s="2">
        <v>172</v>
      </c>
      <c r="J45" s="2">
        <v>14.4</v>
      </c>
      <c r="K45" s="2">
        <v>13.9</v>
      </c>
      <c r="L45" s="2">
        <f t="shared" si="0"/>
        <v>0.5</v>
      </c>
      <c r="M45" s="2">
        <v>42.6</v>
      </c>
      <c r="N45" s="2">
        <v>40.9</v>
      </c>
      <c r="O45" s="2">
        <f t="shared" si="1"/>
        <v>1.7000000000000028</v>
      </c>
      <c r="P45" s="2">
        <v>268</v>
      </c>
      <c r="Q45" s="2">
        <v>174</v>
      </c>
      <c r="R45" s="2">
        <f t="shared" si="2"/>
        <v>94</v>
      </c>
      <c r="S45" s="2">
        <v>10.5</v>
      </c>
      <c r="T45" s="2">
        <v>11</v>
      </c>
      <c r="U45" s="2">
        <f t="shared" si="3"/>
        <v>-0.5</v>
      </c>
      <c r="V45" s="2">
        <v>13.9</v>
      </c>
      <c r="W45" s="2">
        <v>14.2</v>
      </c>
      <c r="X45" s="2">
        <f t="shared" si="4"/>
        <v>-0.29999999999999893</v>
      </c>
      <c r="Y45" s="2">
        <v>3075</v>
      </c>
      <c r="Z45" s="2">
        <v>75</v>
      </c>
      <c r="AA45" s="2">
        <v>82</v>
      </c>
      <c r="AB45" s="2">
        <v>325</v>
      </c>
      <c r="AC45" s="2">
        <v>1207</v>
      </c>
      <c r="AD45" s="2">
        <v>3.92</v>
      </c>
      <c r="AE45" s="2">
        <v>58</v>
      </c>
      <c r="AF45" s="2">
        <v>4.7E-2</v>
      </c>
    </row>
    <row r="46" spans="1:32" x14ac:dyDescent="0.3">
      <c r="A46" s="2">
        <v>45</v>
      </c>
      <c r="B46" s="2" t="s">
        <v>81</v>
      </c>
      <c r="F46" s="2">
        <v>29</v>
      </c>
      <c r="G46" s="2" t="str">
        <f>LOOKUP(F46,{0,0;16,"16-19";20,"20-24";25,"25-29";30,"30-34";35,"35-39";40,"40-44";45,"45-49";50,"50-54";55,"55-59";60,"60-64"})</f>
        <v>25-29</v>
      </c>
      <c r="H46" s="2">
        <v>75</v>
      </c>
      <c r="I46" s="2">
        <v>176</v>
      </c>
      <c r="J46" s="2">
        <v>15.2</v>
      </c>
      <c r="K46" s="2">
        <v>14.8</v>
      </c>
      <c r="L46" s="2">
        <f t="shared" si="0"/>
        <v>0.39999999999999858</v>
      </c>
      <c r="M46" s="2">
        <v>43.5</v>
      </c>
      <c r="N46" s="2">
        <v>42</v>
      </c>
      <c r="O46" s="2">
        <f t="shared" si="1"/>
        <v>1.5</v>
      </c>
      <c r="P46" s="2">
        <v>310</v>
      </c>
      <c r="Q46" s="2">
        <v>215</v>
      </c>
      <c r="R46" s="2">
        <f t="shared" si="2"/>
        <v>95</v>
      </c>
      <c r="S46" s="2">
        <v>10.1</v>
      </c>
      <c r="T46" s="2">
        <v>10.4</v>
      </c>
      <c r="U46" s="2">
        <f t="shared" si="3"/>
        <v>-0.30000000000000071</v>
      </c>
      <c r="V46" s="2">
        <v>11.9</v>
      </c>
      <c r="W46" s="2">
        <v>12.8</v>
      </c>
      <c r="X46" s="2">
        <f t="shared" si="4"/>
        <v>-0.90000000000000036</v>
      </c>
      <c r="Y46" s="2">
        <v>3050</v>
      </c>
      <c r="Z46" s="2">
        <v>76</v>
      </c>
      <c r="AA46" s="2">
        <v>72</v>
      </c>
      <c r="AB46" s="2">
        <v>331</v>
      </c>
      <c r="AC46" s="2">
        <v>1095</v>
      </c>
      <c r="AD46" s="2">
        <v>3.62</v>
      </c>
      <c r="AE46" s="2">
        <v>45</v>
      </c>
      <c r="AF46" s="2">
        <v>0.05</v>
      </c>
    </row>
    <row r="47" spans="1:32" x14ac:dyDescent="0.3">
      <c r="A47" s="2">
        <v>46</v>
      </c>
      <c r="B47" s="2" t="s">
        <v>81</v>
      </c>
      <c r="F47" s="2">
        <v>34</v>
      </c>
      <c r="G47" s="2" t="str">
        <f>LOOKUP(F47,{0,0;16,"16-19";20,"20-24";25,"25-29";30,"30-34";35,"35-39";40,"40-44";45,"45-49";50,"50-54";55,"55-59";60,"60-64"})</f>
        <v>30-34</v>
      </c>
      <c r="H47" s="2">
        <v>80</v>
      </c>
      <c r="I47" s="2">
        <v>180</v>
      </c>
      <c r="J47" s="2">
        <v>14.7</v>
      </c>
      <c r="K47" s="2">
        <v>14.4</v>
      </c>
      <c r="L47" s="2">
        <f t="shared" si="0"/>
        <v>0.29999999999999893</v>
      </c>
      <c r="M47" s="2">
        <v>44.1</v>
      </c>
      <c r="N47" s="2">
        <v>42.9</v>
      </c>
      <c r="O47" s="2">
        <f t="shared" si="1"/>
        <v>1.2000000000000028</v>
      </c>
      <c r="P47" s="2">
        <v>275</v>
      </c>
      <c r="Q47" s="2">
        <v>190</v>
      </c>
      <c r="R47" s="2">
        <f t="shared" si="2"/>
        <v>85</v>
      </c>
      <c r="S47" s="2">
        <v>9.8000000000000007</v>
      </c>
      <c r="T47" s="2">
        <v>10</v>
      </c>
      <c r="U47" s="2">
        <f t="shared" si="3"/>
        <v>-0.19999999999999929</v>
      </c>
      <c r="V47" s="2">
        <v>10.7</v>
      </c>
      <c r="W47" s="2">
        <v>11.2</v>
      </c>
      <c r="X47" s="2">
        <f t="shared" si="4"/>
        <v>-0.5</v>
      </c>
      <c r="Y47" s="2">
        <v>2820</v>
      </c>
      <c r="Z47" s="2">
        <v>74</v>
      </c>
      <c r="AA47" s="2">
        <v>70</v>
      </c>
      <c r="AB47" s="2">
        <v>320</v>
      </c>
      <c r="AC47" s="2">
        <v>1028</v>
      </c>
      <c r="AD47" s="2">
        <v>3.28</v>
      </c>
      <c r="AE47" s="2">
        <v>50</v>
      </c>
      <c r="AF47" s="2">
        <v>4.5999999999999999E-2</v>
      </c>
    </row>
    <row r="48" spans="1:32" x14ac:dyDescent="0.3">
      <c r="A48" s="2">
        <v>47</v>
      </c>
      <c r="B48" s="2" t="s">
        <v>81</v>
      </c>
      <c r="F48" s="2">
        <v>22</v>
      </c>
      <c r="G48" s="2" t="str">
        <f>LOOKUP(F48,{0,0;16,"16-19";20,"20-24";25,"25-29";30,"30-34";35,"35-39";40,"40-44";45,"45-49";50,"50-54";55,"55-59";60,"60-64"})</f>
        <v>20-24</v>
      </c>
      <c r="H48" s="2">
        <v>70</v>
      </c>
      <c r="I48" s="2">
        <v>168</v>
      </c>
      <c r="J48" s="2">
        <v>14.5</v>
      </c>
      <c r="K48" s="2">
        <v>14.1</v>
      </c>
      <c r="L48" s="2">
        <f t="shared" si="0"/>
        <v>0.40000000000000036</v>
      </c>
      <c r="M48" s="2">
        <v>41.8</v>
      </c>
      <c r="N48" s="2">
        <v>40.4</v>
      </c>
      <c r="O48" s="2">
        <f t="shared" si="1"/>
        <v>1.3999999999999986</v>
      </c>
      <c r="P48" s="2">
        <v>355</v>
      </c>
      <c r="Q48" s="2">
        <v>265</v>
      </c>
      <c r="R48" s="2">
        <f t="shared" si="2"/>
        <v>90</v>
      </c>
      <c r="S48" s="2">
        <v>10.5</v>
      </c>
      <c r="T48" s="2">
        <v>10.8</v>
      </c>
      <c r="U48" s="2">
        <f t="shared" si="3"/>
        <v>-0.30000000000000071</v>
      </c>
      <c r="V48" s="2">
        <v>12.4</v>
      </c>
      <c r="W48" s="2">
        <v>12.9</v>
      </c>
      <c r="X48" s="2">
        <f t="shared" si="4"/>
        <v>-0.5</v>
      </c>
      <c r="Y48" s="2">
        <v>3225</v>
      </c>
      <c r="Z48" s="2">
        <v>77</v>
      </c>
      <c r="AA48" s="2">
        <v>75</v>
      </c>
      <c r="AB48" s="2">
        <v>340</v>
      </c>
      <c r="AC48" s="2">
        <v>1172</v>
      </c>
      <c r="AD48" s="2">
        <v>3.98</v>
      </c>
      <c r="AE48" s="2">
        <v>40</v>
      </c>
      <c r="AF48" s="2">
        <v>5.2999999999999999E-2</v>
      </c>
    </row>
    <row r="49" spans="1:32" x14ac:dyDescent="0.3">
      <c r="A49" s="2">
        <v>48</v>
      </c>
      <c r="B49" s="2" t="s">
        <v>81</v>
      </c>
      <c r="F49" s="2">
        <v>31</v>
      </c>
      <c r="G49" s="2" t="str">
        <f>LOOKUP(F49,{0,0;16,"16-19";20,"20-24";25,"25-29";30,"30-34";35,"35-39";40,"40-44";45,"45-49";50,"50-54";55,"55-59";60,"60-64"})</f>
        <v>30-34</v>
      </c>
      <c r="H49" s="2">
        <v>72</v>
      </c>
      <c r="I49" s="2">
        <v>174</v>
      </c>
      <c r="J49" s="2">
        <v>15</v>
      </c>
      <c r="K49" s="2">
        <v>14.6</v>
      </c>
      <c r="L49" s="2">
        <f t="shared" si="0"/>
        <v>0.40000000000000036</v>
      </c>
      <c r="M49" s="2">
        <v>43.2</v>
      </c>
      <c r="N49" s="2">
        <v>41.7</v>
      </c>
      <c r="O49" s="2">
        <f t="shared" si="1"/>
        <v>1.5</v>
      </c>
      <c r="P49" s="2">
        <v>296</v>
      </c>
      <c r="Q49" s="2">
        <v>208</v>
      </c>
      <c r="R49" s="2">
        <f t="shared" si="2"/>
        <v>88</v>
      </c>
      <c r="S49" s="2">
        <v>9.6</v>
      </c>
      <c r="T49" s="2">
        <v>10</v>
      </c>
      <c r="U49" s="2">
        <f t="shared" si="3"/>
        <v>-0.40000000000000036</v>
      </c>
      <c r="V49" s="2">
        <v>11.5</v>
      </c>
      <c r="W49" s="2">
        <v>12.4</v>
      </c>
      <c r="X49" s="2">
        <f t="shared" si="4"/>
        <v>-0.90000000000000036</v>
      </c>
      <c r="Y49" s="2">
        <v>2895</v>
      </c>
      <c r="Z49" s="2">
        <v>75</v>
      </c>
      <c r="AA49" s="2">
        <v>71</v>
      </c>
      <c r="AB49" s="2">
        <v>336</v>
      </c>
      <c r="AC49" s="2">
        <v>1136</v>
      </c>
      <c r="AD49" s="2">
        <v>3.81</v>
      </c>
      <c r="AE49" s="2">
        <v>52</v>
      </c>
      <c r="AF49" s="2">
        <v>5.2999999999999999E-2</v>
      </c>
    </row>
    <row r="50" spans="1:32" x14ac:dyDescent="0.3">
      <c r="A50" s="2">
        <v>49</v>
      </c>
      <c r="B50" s="2" t="s">
        <v>81</v>
      </c>
      <c r="F50" s="2">
        <v>27</v>
      </c>
      <c r="G50" s="2" t="str">
        <f>LOOKUP(F50,{0,0;16,"16-19";20,"20-24";25,"25-29";30,"30-34";35,"35-39";40,"40-44";45,"45-49";50,"50-54";55,"55-59";60,"60-64"})</f>
        <v>25-29</v>
      </c>
      <c r="H50" s="2">
        <v>78</v>
      </c>
      <c r="I50" s="2">
        <v>179</v>
      </c>
      <c r="J50" s="2">
        <v>14.8</v>
      </c>
      <c r="K50" s="2">
        <v>14.5</v>
      </c>
      <c r="L50" s="2">
        <f t="shared" si="0"/>
        <v>0.30000000000000071</v>
      </c>
      <c r="M50" s="2">
        <v>42.6</v>
      </c>
      <c r="N50" s="2">
        <v>41.8</v>
      </c>
      <c r="O50" s="2">
        <f t="shared" si="1"/>
        <v>0.80000000000000426</v>
      </c>
      <c r="P50" s="2">
        <v>330</v>
      </c>
      <c r="Q50" s="2">
        <v>225</v>
      </c>
      <c r="R50" s="2">
        <f t="shared" si="2"/>
        <v>105</v>
      </c>
      <c r="S50" s="2">
        <v>10.3</v>
      </c>
      <c r="T50" s="2">
        <v>10.5</v>
      </c>
      <c r="U50" s="2">
        <f t="shared" si="3"/>
        <v>-0.19999999999999929</v>
      </c>
      <c r="V50" s="2">
        <v>12.1</v>
      </c>
      <c r="W50" s="2">
        <v>12.6</v>
      </c>
      <c r="X50" s="2">
        <f t="shared" si="4"/>
        <v>-0.5</v>
      </c>
      <c r="Y50" s="2">
        <v>3005</v>
      </c>
      <c r="Z50" s="2">
        <v>78</v>
      </c>
      <c r="AA50" s="2">
        <v>73</v>
      </c>
      <c r="AB50" s="2">
        <v>333</v>
      </c>
      <c r="AC50" s="2">
        <v>1118</v>
      </c>
      <c r="AD50" s="2">
        <v>3.72</v>
      </c>
      <c r="AE50" s="2">
        <v>45</v>
      </c>
      <c r="AF50" s="2">
        <v>0.05</v>
      </c>
    </row>
    <row r="51" spans="1:32" x14ac:dyDescent="0.3">
      <c r="A51" s="2">
        <v>50</v>
      </c>
      <c r="B51" s="2" t="s">
        <v>81</v>
      </c>
      <c r="F51" s="2">
        <v>32</v>
      </c>
      <c r="G51" s="2" t="str">
        <f>LOOKUP(F51,{0,0;16,"16-19";20,"20-24";25,"25-29";30,"30-34";35,"35-39";40,"40-44";45,"45-49";50,"50-54";55,"55-59";60,"60-64"})</f>
        <v>30-34</v>
      </c>
      <c r="H51" s="2">
        <v>82</v>
      </c>
      <c r="I51" s="2">
        <v>178</v>
      </c>
      <c r="J51" s="2">
        <v>15.6</v>
      </c>
      <c r="K51" s="2">
        <v>15.1</v>
      </c>
      <c r="L51" s="2">
        <f t="shared" si="0"/>
        <v>0.5</v>
      </c>
      <c r="M51" s="2">
        <v>45.2</v>
      </c>
      <c r="N51" s="2">
        <v>43.6</v>
      </c>
      <c r="O51" s="2">
        <f t="shared" si="1"/>
        <v>1.6000000000000014</v>
      </c>
      <c r="P51" s="2">
        <v>288</v>
      </c>
      <c r="Q51" s="2">
        <v>200</v>
      </c>
      <c r="R51" s="2">
        <f t="shared" si="2"/>
        <v>88</v>
      </c>
      <c r="S51" s="2">
        <v>10.199999999999999</v>
      </c>
      <c r="T51" s="2">
        <v>10.6</v>
      </c>
      <c r="U51" s="2">
        <f t="shared" si="3"/>
        <v>-0.40000000000000036</v>
      </c>
      <c r="V51" s="2">
        <v>11.5</v>
      </c>
      <c r="W51" s="2">
        <v>12.7</v>
      </c>
      <c r="X51" s="2">
        <f t="shared" si="4"/>
        <v>-1.1999999999999993</v>
      </c>
      <c r="Y51" s="2">
        <v>3120</v>
      </c>
      <c r="Z51" s="2">
        <v>75</v>
      </c>
      <c r="AA51" s="2">
        <v>74</v>
      </c>
      <c r="AB51" s="2">
        <v>335</v>
      </c>
      <c r="AC51" s="2">
        <v>1145</v>
      </c>
      <c r="AD51" s="2">
        <v>3.83</v>
      </c>
      <c r="AE51" s="2">
        <v>50</v>
      </c>
      <c r="AF51" s="2">
        <v>5.0999999999999997E-2</v>
      </c>
    </row>
    <row r="52" spans="1:32" x14ac:dyDescent="0.3">
      <c r="A52" s="2">
        <v>51</v>
      </c>
      <c r="B52" s="2" t="s">
        <v>81</v>
      </c>
      <c r="F52" s="2">
        <v>25</v>
      </c>
      <c r="G52" s="2" t="str">
        <f>LOOKUP(F52,{0,0;16,"16-19";20,"20-24";25,"25-29";30,"30-34";35,"35-39";40,"40-44";45,"45-49";50,"50-54";55,"55-59";60,"60-64"})</f>
        <v>25-29</v>
      </c>
      <c r="H52" s="2">
        <v>71</v>
      </c>
      <c r="I52" s="2">
        <v>169</v>
      </c>
      <c r="J52" s="2">
        <v>14.4</v>
      </c>
      <c r="K52" s="2">
        <v>14.1</v>
      </c>
      <c r="L52" s="2">
        <f t="shared" si="0"/>
        <v>0.30000000000000071</v>
      </c>
      <c r="M52" s="2">
        <v>41.9</v>
      </c>
      <c r="N52" s="2">
        <v>40.5</v>
      </c>
      <c r="O52" s="2">
        <f t="shared" si="1"/>
        <v>1.3999999999999986</v>
      </c>
      <c r="P52" s="2">
        <v>342</v>
      </c>
      <c r="Q52" s="2">
        <v>240</v>
      </c>
      <c r="R52" s="2">
        <f t="shared" si="2"/>
        <v>102</v>
      </c>
      <c r="S52" s="2">
        <v>9.9</v>
      </c>
      <c r="T52" s="2">
        <v>10.199999999999999</v>
      </c>
      <c r="U52" s="2">
        <f t="shared" si="3"/>
        <v>-0.29999999999999893</v>
      </c>
      <c r="V52" s="2">
        <v>12</v>
      </c>
      <c r="W52" s="2">
        <v>12.8</v>
      </c>
      <c r="X52" s="2">
        <f t="shared" si="4"/>
        <v>-0.80000000000000071</v>
      </c>
      <c r="Y52" s="2">
        <v>2980</v>
      </c>
      <c r="Z52" s="2">
        <v>76</v>
      </c>
      <c r="AA52" s="2">
        <v>71</v>
      </c>
      <c r="AB52" s="2">
        <v>328</v>
      </c>
      <c r="AC52" s="2">
        <v>1092</v>
      </c>
      <c r="AD52" s="2">
        <v>3.58</v>
      </c>
      <c r="AE52" s="2">
        <v>41</v>
      </c>
      <c r="AF52" s="2">
        <v>0.05</v>
      </c>
    </row>
    <row r="53" spans="1:32" x14ac:dyDescent="0.3">
      <c r="A53" s="2">
        <v>52</v>
      </c>
      <c r="B53" s="2" t="s">
        <v>81</v>
      </c>
      <c r="F53" s="2">
        <v>36</v>
      </c>
      <c r="G53" s="2" t="str">
        <f>LOOKUP(F53,{0,0;16,"16-19";20,"20-24";25,"25-29";30,"30-34";35,"35-39";40,"40-44";45,"45-49";50,"50-54";55,"55-59";60,"60-64"})</f>
        <v>35-39</v>
      </c>
      <c r="H53" s="2">
        <v>76</v>
      </c>
      <c r="I53" s="2">
        <v>182</v>
      </c>
      <c r="J53" s="2">
        <v>15</v>
      </c>
      <c r="K53" s="2">
        <v>14.6</v>
      </c>
      <c r="L53" s="2">
        <f t="shared" si="0"/>
        <v>0.40000000000000036</v>
      </c>
      <c r="M53" s="2">
        <v>43.6</v>
      </c>
      <c r="N53" s="2">
        <v>42.2</v>
      </c>
      <c r="O53" s="2">
        <f t="shared" si="1"/>
        <v>1.3999999999999986</v>
      </c>
      <c r="P53" s="2">
        <v>277</v>
      </c>
      <c r="Q53" s="2">
        <v>190</v>
      </c>
      <c r="R53" s="2">
        <f t="shared" si="2"/>
        <v>87</v>
      </c>
      <c r="S53" s="2">
        <v>10.4</v>
      </c>
      <c r="T53" s="2">
        <v>10.7</v>
      </c>
      <c r="U53" s="2">
        <f t="shared" si="3"/>
        <v>-0.29999999999999893</v>
      </c>
      <c r="V53" s="2">
        <v>10.9</v>
      </c>
      <c r="W53" s="2">
        <v>11.5</v>
      </c>
      <c r="X53" s="2">
        <f t="shared" si="4"/>
        <v>-0.59999999999999964</v>
      </c>
      <c r="Y53" s="2">
        <v>3255</v>
      </c>
      <c r="Z53" s="2">
        <v>74</v>
      </c>
      <c r="AA53" s="2">
        <v>76</v>
      </c>
      <c r="AB53" s="2">
        <v>338</v>
      </c>
      <c r="AC53" s="2">
        <v>1160</v>
      </c>
      <c r="AD53" s="2">
        <v>3.92</v>
      </c>
      <c r="AE53" s="2">
        <v>52</v>
      </c>
      <c r="AF53" s="2">
        <v>5.0999999999999997E-2</v>
      </c>
    </row>
    <row r="54" spans="1:32" x14ac:dyDescent="0.3">
      <c r="A54" s="2">
        <v>53</v>
      </c>
      <c r="B54" s="2" t="s">
        <v>81</v>
      </c>
      <c r="F54" s="2">
        <v>28</v>
      </c>
      <c r="G54" s="2" t="str">
        <f>LOOKUP(F54,{0,0;16,"16-19";20,"20-24";25,"25-29";30,"30-34";35,"35-39";40,"40-44";45,"45-49";50,"50-54";55,"55-59";60,"60-64"})</f>
        <v>25-29</v>
      </c>
      <c r="H54" s="2">
        <v>69</v>
      </c>
      <c r="I54" s="2">
        <v>170</v>
      </c>
      <c r="J54" s="2">
        <v>14.2</v>
      </c>
      <c r="K54" s="2">
        <v>13.9</v>
      </c>
      <c r="L54" s="2">
        <f t="shared" si="0"/>
        <v>0.29999999999999893</v>
      </c>
      <c r="M54" s="2">
        <v>40.799999999999997</v>
      </c>
      <c r="N54" s="2">
        <v>39.6</v>
      </c>
      <c r="O54" s="2">
        <f t="shared" si="1"/>
        <v>1.1999999999999957</v>
      </c>
      <c r="P54" s="2">
        <v>305</v>
      </c>
      <c r="Q54" s="2">
        <v>215</v>
      </c>
      <c r="R54" s="2">
        <f t="shared" si="2"/>
        <v>90</v>
      </c>
      <c r="S54" s="2">
        <v>9.6999999999999993</v>
      </c>
      <c r="T54" s="2">
        <v>10.1</v>
      </c>
      <c r="U54" s="2">
        <f t="shared" si="3"/>
        <v>-0.40000000000000036</v>
      </c>
      <c r="V54" s="2">
        <v>11.2</v>
      </c>
      <c r="W54" s="2">
        <v>12</v>
      </c>
      <c r="X54" s="2">
        <f t="shared" si="4"/>
        <v>-0.80000000000000071</v>
      </c>
      <c r="Y54" s="2">
        <v>2890</v>
      </c>
      <c r="Z54" s="2">
        <v>78</v>
      </c>
      <c r="AA54" s="2">
        <v>70</v>
      </c>
      <c r="AB54" s="2">
        <v>330</v>
      </c>
      <c r="AC54" s="2">
        <v>1103</v>
      </c>
      <c r="AD54" s="2">
        <v>3.63</v>
      </c>
      <c r="AE54" s="2">
        <v>48</v>
      </c>
      <c r="AF54" s="2">
        <v>5.0999999999999997E-2</v>
      </c>
    </row>
    <row r="55" spans="1:32" x14ac:dyDescent="0.3">
      <c r="A55" s="2">
        <v>54</v>
      </c>
      <c r="B55" s="2" t="s">
        <v>81</v>
      </c>
      <c r="F55" s="2">
        <v>24</v>
      </c>
      <c r="G55" s="2" t="str">
        <f>LOOKUP(F55,{0,0;16,"16-19";20,"20-24";25,"25-29";30,"30-34";35,"35-39";40,"40-44";45,"45-49";50,"50-54";55,"55-59";60,"60-64"})</f>
        <v>20-24</v>
      </c>
      <c r="H55" s="2">
        <v>74</v>
      </c>
      <c r="I55" s="2">
        <v>174</v>
      </c>
      <c r="J55" s="2">
        <v>14.9</v>
      </c>
      <c r="K55" s="2">
        <v>14.4</v>
      </c>
      <c r="L55" s="2">
        <f t="shared" si="0"/>
        <v>0.5</v>
      </c>
      <c r="M55" s="2">
        <v>42.7</v>
      </c>
      <c r="N55" s="2">
        <v>41.5</v>
      </c>
      <c r="O55" s="2">
        <f t="shared" si="1"/>
        <v>1.2000000000000028</v>
      </c>
      <c r="P55" s="2">
        <v>315</v>
      </c>
      <c r="Q55" s="2">
        <v>218</v>
      </c>
      <c r="R55" s="2">
        <f t="shared" si="2"/>
        <v>97</v>
      </c>
      <c r="S55" s="2">
        <v>9.5</v>
      </c>
      <c r="T55" s="2">
        <v>9.8000000000000007</v>
      </c>
      <c r="U55" s="2">
        <f t="shared" si="3"/>
        <v>-0.30000000000000071</v>
      </c>
      <c r="V55" s="2">
        <v>10.7</v>
      </c>
      <c r="W55" s="2">
        <v>11.4</v>
      </c>
      <c r="X55" s="2">
        <f t="shared" si="4"/>
        <v>-0.70000000000000107</v>
      </c>
      <c r="Y55" s="2">
        <v>3000</v>
      </c>
      <c r="Z55" s="2">
        <v>77</v>
      </c>
      <c r="AA55" s="2">
        <v>72</v>
      </c>
      <c r="AB55" s="2">
        <v>332</v>
      </c>
      <c r="AC55" s="2">
        <v>1116</v>
      </c>
      <c r="AD55" s="2">
        <v>3.7</v>
      </c>
      <c r="AE55" s="2">
        <v>46</v>
      </c>
      <c r="AF55" s="2">
        <v>5.0999999999999997E-2</v>
      </c>
    </row>
    <row r="56" spans="1:32" x14ac:dyDescent="0.3">
      <c r="A56" s="2">
        <v>55</v>
      </c>
      <c r="B56" s="2" t="s">
        <v>81</v>
      </c>
      <c r="F56" s="2">
        <v>33</v>
      </c>
      <c r="G56" s="2" t="str">
        <f>LOOKUP(F56,{0,0;16,"16-19";20,"20-24";25,"25-29";30,"30-34";35,"35-39";40,"40-44";45,"45-49";50,"50-54";55,"55-59";60,"60-64"})</f>
        <v>30-34</v>
      </c>
      <c r="H56" s="2">
        <v>80</v>
      </c>
      <c r="I56" s="2">
        <v>180</v>
      </c>
      <c r="J56" s="2">
        <v>15.5</v>
      </c>
      <c r="K56" s="2">
        <v>15</v>
      </c>
      <c r="L56" s="2">
        <f t="shared" si="0"/>
        <v>0.5</v>
      </c>
      <c r="M56" s="2">
        <v>44.9</v>
      </c>
      <c r="N56" s="2">
        <v>43.3</v>
      </c>
      <c r="O56" s="2">
        <f t="shared" si="1"/>
        <v>1.6000000000000014</v>
      </c>
      <c r="P56" s="2">
        <v>298</v>
      </c>
      <c r="Q56" s="2">
        <v>207</v>
      </c>
      <c r="R56" s="2">
        <f t="shared" si="2"/>
        <v>91</v>
      </c>
      <c r="S56" s="2">
        <v>10</v>
      </c>
      <c r="T56" s="2">
        <v>10.3</v>
      </c>
      <c r="U56" s="2">
        <f t="shared" si="3"/>
        <v>-0.30000000000000071</v>
      </c>
      <c r="V56" s="2">
        <v>11.8</v>
      </c>
      <c r="W56" s="2">
        <v>12.6</v>
      </c>
      <c r="X56" s="2">
        <f t="shared" si="4"/>
        <v>-0.79999999999999893</v>
      </c>
      <c r="Y56" s="2">
        <v>3180</v>
      </c>
      <c r="Z56" s="2">
        <v>75</v>
      </c>
      <c r="AA56" s="2">
        <v>75</v>
      </c>
      <c r="AB56" s="2">
        <v>337</v>
      </c>
      <c r="AC56" s="2">
        <v>1154</v>
      </c>
      <c r="AD56" s="2">
        <v>3.88</v>
      </c>
      <c r="AE56" s="2">
        <v>48</v>
      </c>
      <c r="AF56" s="2">
        <v>5.0999999999999997E-2</v>
      </c>
    </row>
    <row r="57" spans="1:32" x14ac:dyDescent="0.3">
      <c r="A57" s="2">
        <v>56</v>
      </c>
      <c r="B57" s="2" t="s">
        <v>81</v>
      </c>
      <c r="F57" s="2">
        <v>26</v>
      </c>
      <c r="G57" s="2" t="str">
        <f>LOOKUP(F57,{0,0;16,"16-19";20,"20-24";25,"25-29";30,"30-34";35,"35-39";40,"40-44";45,"45-49";50,"50-54";55,"55-59";60,"60-64"})</f>
        <v>25-29</v>
      </c>
      <c r="H57" s="2">
        <v>77</v>
      </c>
      <c r="I57" s="2">
        <v>174</v>
      </c>
      <c r="J57" s="2">
        <v>14.7</v>
      </c>
      <c r="K57" s="2">
        <v>14.4</v>
      </c>
      <c r="L57" s="2">
        <f t="shared" si="0"/>
        <v>0.29999999999999893</v>
      </c>
      <c r="M57" s="2">
        <v>43.2</v>
      </c>
      <c r="N57" s="2">
        <v>41.8</v>
      </c>
      <c r="O57" s="2">
        <f t="shared" si="1"/>
        <v>1.4000000000000057</v>
      </c>
      <c r="P57" s="2">
        <v>360</v>
      </c>
      <c r="Q57" s="2">
        <v>265</v>
      </c>
      <c r="R57" s="2">
        <f t="shared" si="2"/>
        <v>95</v>
      </c>
      <c r="S57" s="2">
        <v>10.5</v>
      </c>
      <c r="T57" s="2">
        <v>10.8</v>
      </c>
      <c r="U57" s="2">
        <f t="shared" si="3"/>
        <v>-0.30000000000000071</v>
      </c>
      <c r="V57" s="2">
        <v>12.5</v>
      </c>
      <c r="W57" s="2">
        <v>13.1</v>
      </c>
      <c r="X57" s="2">
        <f t="shared" si="4"/>
        <v>-0.59999999999999964</v>
      </c>
      <c r="Y57" s="2">
        <v>3325</v>
      </c>
      <c r="Z57" s="2">
        <v>76</v>
      </c>
      <c r="AA57" s="2">
        <v>78</v>
      </c>
      <c r="AB57" s="2">
        <v>343</v>
      </c>
      <c r="AC57" s="2">
        <v>1203</v>
      </c>
      <c r="AD57" s="2">
        <v>4.12</v>
      </c>
      <c r="AE57" s="2">
        <v>40</v>
      </c>
      <c r="AF57" s="2">
        <v>5.1999999999999998E-2</v>
      </c>
    </row>
    <row r="58" spans="1:32" x14ac:dyDescent="0.3">
      <c r="A58" s="2">
        <v>57</v>
      </c>
      <c r="B58" s="2" t="s">
        <v>81</v>
      </c>
      <c r="F58" s="2">
        <v>38</v>
      </c>
      <c r="G58" s="2" t="str">
        <f>LOOKUP(F58,{0,0;16,"16-19";20,"20-24";25,"25-29";30,"30-34";35,"35-39";40,"40-44";45,"45-49";50,"50-54";55,"55-59";60,"60-64"})</f>
        <v>35-39</v>
      </c>
      <c r="H58" s="2">
        <v>68</v>
      </c>
      <c r="I58" s="2">
        <v>169</v>
      </c>
      <c r="J58" s="2">
        <v>14.3</v>
      </c>
      <c r="K58" s="2">
        <v>14</v>
      </c>
      <c r="L58" s="2">
        <f t="shared" si="0"/>
        <v>0.30000000000000071</v>
      </c>
      <c r="M58" s="2">
        <v>41.3</v>
      </c>
      <c r="N58" s="2">
        <v>39.9</v>
      </c>
      <c r="O58" s="2">
        <f t="shared" si="1"/>
        <v>1.3999999999999986</v>
      </c>
      <c r="P58" s="2">
        <v>287</v>
      </c>
      <c r="Q58" s="2">
        <v>202</v>
      </c>
      <c r="R58" s="2">
        <f t="shared" si="2"/>
        <v>85</v>
      </c>
      <c r="S58" s="2">
        <v>9.6</v>
      </c>
      <c r="T58" s="2">
        <v>10</v>
      </c>
      <c r="U58" s="2">
        <f t="shared" si="3"/>
        <v>-0.40000000000000036</v>
      </c>
      <c r="V58" s="2">
        <v>11.1</v>
      </c>
      <c r="W58" s="2">
        <v>12.2</v>
      </c>
      <c r="X58" s="2">
        <f t="shared" si="4"/>
        <v>-1.0999999999999996</v>
      </c>
      <c r="Y58" s="2">
        <v>2950</v>
      </c>
      <c r="Z58" s="2">
        <v>75</v>
      </c>
      <c r="AA58" s="2">
        <v>70</v>
      </c>
      <c r="AB58" s="2">
        <v>329</v>
      </c>
      <c r="AC58" s="2">
        <v>1108</v>
      </c>
      <c r="AD58" s="2">
        <v>3.64</v>
      </c>
      <c r="AE58" s="2">
        <v>50</v>
      </c>
      <c r="AF58" s="2">
        <v>5.1999999999999998E-2</v>
      </c>
    </row>
    <row r="59" spans="1:32" x14ac:dyDescent="0.3">
      <c r="A59" s="2">
        <v>58</v>
      </c>
      <c r="B59" s="2" t="s">
        <v>81</v>
      </c>
      <c r="F59" s="2">
        <v>29</v>
      </c>
      <c r="G59" s="2" t="str">
        <f>LOOKUP(F59,{0,0;16,"16-19";20,"20-24";25,"25-29";30,"30-34";35,"35-39";40,"40-44";45,"45-49";50,"50-54";55,"55-59";60,"60-64"})</f>
        <v>25-29</v>
      </c>
      <c r="H59" s="2">
        <v>72</v>
      </c>
      <c r="I59" s="2">
        <v>176</v>
      </c>
      <c r="J59" s="2">
        <v>15</v>
      </c>
      <c r="K59" s="2">
        <v>14.5</v>
      </c>
      <c r="L59" s="2">
        <f t="shared" si="0"/>
        <v>0.5</v>
      </c>
      <c r="M59" s="2">
        <v>42.9</v>
      </c>
      <c r="N59" s="2">
        <v>41.3</v>
      </c>
      <c r="O59" s="2">
        <f t="shared" si="1"/>
        <v>1.6000000000000014</v>
      </c>
      <c r="P59" s="2">
        <v>335</v>
      </c>
      <c r="Q59" s="2">
        <v>230</v>
      </c>
      <c r="R59" s="2">
        <f t="shared" si="2"/>
        <v>105</v>
      </c>
      <c r="S59" s="2">
        <v>10.199999999999999</v>
      </c>
      <c r="T59" s="2">
        <v>10.5</v>
      </c>
      <c r="U59" s="2">
        <f t="shared" si="3"/>
        <v>-0.30000000000000071</v>
      </c>
      <c r="V59" s="2">
        <v>12.2</v>
      </c>
      <c r="W59" s="2">
        <v>12.9</v>
      </c>
      <c r="X59" s="2">
        <f t="shared" si="4"/>
        <v>-0.70000000000000107</v>
      </c>
      <c r="Y59" s="2">
        <v>3060</v>
      </c>
      <c r="Z59" s="2">
        <v>75</v>
      </c>
      <c r="AA59" s="2">
        <v>80</v>
      </c>
      <c r="AB59" s="2">
        <v>334</v>
      </c>
      <c r="AC59" s="2">
        <v>1137</v>
      </c>
      <c r="AD59" s="2">
        <v>3.79</v>
      </c>
      <c r="AE59" s="2">
        <v>44</v>
      </c>
      <c r="AF59" s="2">
        <v>0.47</v>
      </c>
    </row>
    <row r="60" spans="1:32" x14ac:dyDescent="0.3">
      <c r="A60" s="2">
        <v>59</v>
      </c>
      <c r="B60" s="2" t="s">
        <v>81</v>
      </c>
      <c r="F60" s="2">
        <v>30</v>
      </c>
      <c r="G60" s="2" t="str">
        <f>LOOKUP(F60,{0,0;16,"16-19";20,"20-24";25,"25-29";30,"30-34";35,"35-39";40,"40-44";45,"45-49";50,"50-54";55,"55-59";60,"60-64"})</f>
        <v>30-34</v>
      </c>
      <c r="H60" s="2">
        <v>79</v>
      </c>
      <c r="I60" s="2">
        <v>181</v>
      </c>
      <c r="J60" s="2">
        <v>15.1</v>
      </c>
      <c r="K60" s="2">
        <v>14.3</v>
      </c>
      <c r="L60" s="2">
        <f t="shared" si="0"/>
        <v>0.79999999999999893</v>
      </c>
      <c r="M60" s="2">
        <v>44.1</v>
      </c>
      <c r="N60" s="2">
        <v>42.2</v>
      </c>
      <c r="O60" s="2">
        <f t="shared" si="1"/>
        <v>1.8999999999999986</v>
      </c>
      <c r="P60" s="2">
        <v>299</v>
      </c>
      <c r="Q60" s="2">
        <v>208</v>
      </c>
      <c r="R60" s="2">
        <f t="shared" si="2"/>
        <v>91</v>
      </c>
      <c r="S60" s="2">
        <v>10.1</v>
      </c>
      <c r="T60" s="2">
        <v>10.5</v>
      </c>
      <c r="U60" s="2">
        <f t="shared" si="3"/>
        <v>-0.40000000000000036</v>
      </c>
      <c r="V60" s="2">
        <v>11.6</v>
      </c>
      <c r="W60" s="2">
        <v>12.6</v>
      </c>
      <c r="X60" s="2">
        <f t="shared" si="4"/>
        <v>-1</v>
      </c>
      <c r="Y60" s="2">
        <v>3195</v>
      </c>
      <c r="Z60" s="2">
        <v>75</v>
      </c>
      <c r="AA60" s="2">
        <v>77</v>
      </c>
      <c r="AB60" s="2">
        <v>340</v>
      </c>
      <c r="AC60" s="2">
        <v>1180</v>
      </c>
      <c r="AD60" s="2">
        <v>4.01</v>
      </c>
      <c r="AE60" s="2">
        <v>50</v>
      </c>
      <c r="AF60" s="2">
        <v>5.1999999999999998E-2</v>
      </c>
    </row>
    <row r="61" spans="1:32" x14ac:dyDescent="0.3">
      <c r="A61" s="2">
        <v>60</v>
      </c>
      <c r="B61" s="2" t="s">
        <v>81</v>
      </c>
      <c r="F61" s="2">
        <v>29</v>
      </c>
      <c r="G61" s="2" t="str">
        <f>LOOKUP(F61,{0,0;16,"16-19";20,"20-24";25,"25-29";30,"30-34";35,"35-39";40,"40-44";45,"45-49";50,"50-54";55,"55-59";60,"60-64"})</f>
        <v>25-29</v>
      </c>
      <c r="H61" s="2">
        <v>72</v>
      </c>
      <c r="I61" s="2">
        <v>176</v>
      </c>
      <c r="J61" s="2">
        <v>14.7</v>
      </c>
      <c r="K61" s="2">
        <v>14.4</v>
      </c>
      <c r="L61" s="2">
        <f t="shared" si="0"/>
        <v>0.29999999999999893</v>
      </c>
      <c r="M61" s="2">
        <v>41.9</v>
      </c>
      <c r="N61" s="2">
        <v>40.5</v>
      </c>
      <c r="O61" s="2">
        <f t="shared" si="1"/>
        <v>1.3999999999999986</v>
      </c>
      <c r="P61" s="2">
        <v>277</v>
      </c>
      <c r="Q61" s="2">
        <v>190</v>
      </c>
      <c r="R61" s="2">
        <f t="shared" si="2"/>
        <v>87</v>
      </c>
      <c r="S61" s="2">
        <v>9.9</v>
      </c>
      <c r="T61" s="2">
        <v>10.6</v>
      </c>
      <c r="U61" s="2">
        <f t="shared" si="3"/>
        <v>-0.69999999999999929</v>
      </c>
      <c r="V61" s="2">
        <v>11.5</v>
      </c>
      <c r="W61" s="2">
        <v>12.4</v>
      </c>
      <c r="X61" s="2">
        <f t="shared" si="4"/>
        <v>-0.90000000000000036</v>
      </c>
      <c r="Y61" s="2">
        <v>3325</v>
      </c>
      <c r="Z61" s="2">
        <v>75</v>
      </c>
      <c r="AA61" s="2">
        <v>72</v>
      </c>
      <c r="AB61" s="2">
        <v>340</v>
      </c>
      <c r="AC61" s="2">
        <v>1160</v>
      </c>
      <c r="AD61" s="2">
        <v>3.94</v>
      </c>
      <c r="AE61" s="2">
        <v>51</v>
      </c>
      <c r="AF61" s="2">
        <v>5.3999999999999999E-2</v>
      </c>
    </row>
    <row r="62" spans="1:32" x14ac:dyDescent="0.3">
      <c r="A62" s="2">
        <v>61</v>
      </c>
      <c r="B62" s="2" t="s">
        <v>90</v>
      </c>
      <c r="F62" s="2">
        <v>36</v>
      </c>
      <c r="G62" s="2" t="str">
        <f>LOOKUP(F62,{0,0;16,"16-19";20,"20-24";25,"25-29";30,"30-34";35,"35-39";40,"40-44";45,"45-49";50,"50-54";55,"55-59";60,"60-64"})</f>
        <v>35-39</v>
      </c>
      <c r="H62" s="2">
        <v>76</v>
      </c>
      <c r="I62" s="2">
        <v>174</v>
      </c>
      <c r="J62" s="2">
        <v>14.2</v>
      </c>
      <c r="K62" s="2">
        <v>13.9</v>
      </c>
      <c r="L62" s="2">
        <f t="shared" si="0"/>
        <v>0.29999999999999893</v>
      </c>
      <c r="M62" s="2">
        <v>42.4</v>
      </c>
      <c r="N62" s="2">
        <v>41.2</v>
      </c>
      <c r="O62" s="2">
        <f t="shared" si="1"/>
        <v>1.1999999999999957</v>
      </c>
      <c r="P62" s="2">
        <v>330</v>
      </c>
      <c r="Q62" s="2">
        <v>274</v>
      </c>
      <c r="R62" s="2">
        <f t="shared" si="2"/>
        <v>56</v>
      </c>
      <c r="S62" s="2">
        <v>8.3000000000000007</v>
      </c>
      <c r="T62" s="2">
        <v>8.8000000000000007</v>
      </c>
      <c r="U62" s="2">
        <f t="shared" si="3"/>
        <v>-0.5</v>
      </c>
      <c r="V62" s="2">
        <v>9.6</v>
      </c>
      <c r="W62" s="2">
        <v>10.5</v>
      </c>
      <c r="X62" s="2">
        <f t="shared" si="4"/>
        <v>-0.90000000000000036</v>
      </c>
      <c r="Y62" s="2">
        <v>1892</v>
      </c>
      <c r="Z62" s="2">
        <v>96</v>
      </c>
      <c r="AA62" s="2">
        <v>39</v>
      </c>
      <c r="AB62" s="2">
        <v>261</v>
      </c>
      <c r="AC62" s="2">
        <v>1560</v>
      </c>
      <c r="AD62" s="2">
        <v>4.07</v>
      </c>
      <c r="AE62" s="2">
        <v>89.38</v>
      </c>
      <c r="AF62" s="2">
        <v>0.1</v>
      </c>
    </row>
    <row r="63" spans="1:32" x14ac:dyDescent="0.3">
      <c r="A63" s="2">
        <v>62</v>
      </c>
      <c r="B63" s="2" t="s">
        <v>90</v>
      </c>
      <c r="F63" s="2">
        <v>30</v>
      </c>
      <c r="G63" s="2" t="str">
        <f>LOOKUP(F63,{0,0;16,"16-19";20,"20-24";25,"25-29";30,"30-34";35,"35-39";40,"40-44";45,"45-49";50,"50-54";55,"55-59";60,"60-64"})</f>
        <v>30-34</v>
      </c>
      <c r="H63" s="2">
        <v>72</v>
      </c>
      <c r="I63" s="2">
        <v>165</v>
      </c>
      <c r="J63" s="2">
        <v>15.3</v>
      </c>
      <c r="K63" s="2">
        <v>14.8</v>
      </c>
      <c r="L63" s="2">
        <f t="shared" si="0"/>
        <v>0.5</v>
      </c>
      <c r="M63" s="2">
        <v>41.7</v>
      </c>
      <c r="N63" s="2">
        <v>41</v>
      </c>
      <c r="O63" s="2">
        <f t="shared" si="1"/>
        <v>0.70000000000000284</v>
      </c>
      <c r="P63" s="2">
        <v>174</v>
      </c>
      <c r="Q63" s="2">
        <v>125</v>
      </c>
      <c r="R63" s="2">
        <f t="shared" si="2"/>
        <v>49</v>
      </c>
      <c r="S63" s="2">
        <v>11.8</v>
      </c>
      <c r="T63" s="2">
        <v>12.6</v>
      </c>
      <c r="U63" s="2">
        <f t="shared" si="3"/>
        <v>-0.79999999999999893</v>
      </c>
      <c r="V63" s="2">
        <v>17.7</v>
      </c>
      <c r="W63" s="2">
        <v>18.5</v>
      </c>
      <c r="X63" s="2">
        <f t="shared" si="4"/>
        <v>-0.80000000000000071</v>
      </c>
      <c r="Y63" s="2">
        <v>3598</v>
      </c>
      <c r="Z63" s="2">
        <v>92</v>
      </c>
      <c r="AA63" s="2">
        <v>77</v>
      </c>
      <c r="AB63" s="2">
        <v>262</v>
      </c>
      <c r="AC63" s="2">
        <v>1466</v>
      </c>
      <c r="AD63" s="2">
        <v>3.84</v>
      </c>
      <c r="AE63" s="2">
        <v>70.47</v>
      </c>
      <c r="AF63" s="2">
        <v>4.9000000000000002E-2</v>
      </c>
    </row>
    <row r="64" spans="1:32" x14ac:dyDescent="0.3">
      <c r="A64" s="2">
        <v>63</v>
      </c>
      <c r="B64" s="2" t="s">
        <v>90</v>
      </c>
      <c r="F64" s="2">
        <v>29</v>
      </c>
      <c r="G64" s="2" t="str">
        <f>LOOKUP(F64,{0,0;16,"16-19";20,"20-24";25,"25-29";30,"30-34";35,"35-39";40,"40-44";45,"45-49";50,"50-54";55,"55-59";60,"60-64"})</f>
        <v>25-29</v>
      </c>
      <c r="H64" s="2">
        <v>77</v>
      </c>
      <c r="I64" s="2">
        <v>176</v>
      </c>
      <c r="J64" s="2">
        <v>14.3</v>
      </c>
      <c r="K64" s="2">
        <v>14.8</v>
      </c>
      <c r="L64" s="2">
        <f t="shared" si="0"/>
        <v>-0.5</v>
      </c>
      <c r="M64" s="2">
        <v>42</v>
      </c>
      <c r="N64" s="2">
        <v>43.1</v>
      </c>
      <c r="O64" s="2">
        <f t="shared" si="1"/>
        <v>-1.1000000000000014</v>
      </c>
      <c r="P64" s="2">
        <v>252</v>
      </c>
      <c r="Q64" s="2">
        <v>164</v>
      </c>
      <c r="R64" s="2">
        <f t="shared" si="2"/>
        <v>88</v>
      </c>
      <c r="S64" s="2">
        <v>11.9</v>
      </c>
      <c r="T64" s="2">
        <v>11.9</v>
      </c>
      <c r="U64" s="2">
        <f t="shared" si="3"/>
        <v>0</v>
      </c>
      <c r="V64" s="2">
        <v>16.100000000000001</v>
      </c>
      <c r="W64" s="2">
        <v>17.3</v>
      </c>
      <c r="X64" s="2">
        <f t="shared" si="4"/>
        <v>-1.1999999999999993</v>
      </c>
      <c r="Y64" s="2">
        <v>2428</v>
      </c>
      <c r="Z64" s="2">
        <v>100</v>
      </c>
      <c r="AA64" s="2">
        <v>48</v>
      </c>
      <c r="AB64" s="2">
        <v>263</v>
      </c>
      <c r="AC64" s="2">
        <v>1738</v>
      </c>
      <c r="AD64" s="2">
        <v>4.57</v>
      </c>
      <c r="AE64" s="2">
        <v>96.79</v>
      </c>
      <c r="AF64" s="2">
        <v>9.5000000000000001E-2</v>
      </c>
    </row>
    <row r="65" spans="1:32" x14ac:dyDescent="0.3">
      <c r="A65" s="2">
        <v>64</v>
      </c>
      <c r="B65" s="2" t="s">
        <v>90</v>
      </c>
      <c r="F65" s="2">
        <v>26</v>
      </c>
      <c r="G65" s="2" t="str">
        <f>LOOKUP(F65,{0,0;16,"16-19";20,"20-24";25,"25-29";30,"30-34";35,"35-39";40,"40-44";45,"45-49";50,"50-54";55,"55-59";60,"60-64"})</f>
        <v>25-29</v>
      </c>
      <c r="H65" s="2">
        <v>66</v>
      </c>
      <c r="I65" s="2">
        <v>168</v>
      </c>
      <c r="J65" s="2">
        <v>14.6</v>
      </c>
      <c r="K65" s="2">
        <v>14</v>
      </c>
      <c r="L65" s="2">
        <f t="shared" si="0"/>
        <v>0.59999999999999964</v>
      </c>
      <c r="M65" s="2">
        <v>39.4</v>
      </c>
      <c r="N65" s="2">
        <v>38.200000000000003</v>
      </c>
      <c r="O65" s="2">
        <f t="shared" si="1"/>
        <v>1.1999999999999957</v>
      </c>
      <c r="P65" s="2">
        <v>215</v>
      </c>
      <c r="Q65" s="2">
        <v>166</v>
      </c>
      <c r="R65" s="2">
        <f t="shared" si="2"/>
        <v>49</v>
      </c>
      <c r="S65" s="2">
        <v>8.8000000000000007</v>
      </c>
      <c r="T65" s="2">
        <v>9.5</v>
      </c>
      <c r="U65" s="2">
        <f t="shared" si="3"/>
        <v>-0.69999999999999929</v>
      </c>
      <c r="V65" s="2">
        <v>9.5</v>
      </c>
      <c r="W65" s="2">
        <v>10.7</v>
      </c>
      <c r="X65" s="2">
        <f t="shared" si="4"/>
        <v>-1.1999999999999993</v>
      </c>
      <c r="Y65" s="2">
        <v>2842</v>
      </c>
      <c r="Z65" s="2">
        <v>92</v>
      </c>
      <c r="AA65" s="2">
        <v>61</v>
      </c>
      <c r="AB65" s="2">
        <v>260</v>
      </c>
      <c r="AC65" s="2">
        <v>1590</v>
      </c>
      <c r="AD65" s="2">
        <v>4.13</v>
      </c>
      <c r="AE65" s="2">
        <v>79.83</v>
      </c>
      <c r="AF65" s="2">
        <v>6.7000000000000004E-2</v>
      </c>
    </row>
    <row r="66" spans="1:32" x14ac:dyDescent="0.3">
      <c r="A66" s="2">
        <v>65</v>
      </c>
      <c r="B66" s="2" t="s">
        <v>90</v>
      </c>
      <c r="F66" s="2">
        <v>25</v>
      </c>
      <c r="G66" s="2" t="str">
        <f>LOOKUP(F66,{0,0;16,"16-19";20,"20-24";25,"25-29";30,"30-34";35,"35-39";40,"40-44";45,"45-49";50,"50-54";55,"55-59";60,"60-64"})</f>
        <v>25-29</v>
      </c>
      <c r="H66" s="2">
        <v>65</v>
      </c>
      <c r="I66" s="2">
        <v>168</v>
      </c>
      <c r="J66" s="2">
        <v>15.9</v>
      </c>
      <c r="K66" s="2">
        <v>15.1</v>
      </c>
      <c r="L66" s="2">
        <f t="shared" si="0"/>
        <v>0.80000000000000071</v>
      </c>
      <c r="M66" s="2">
        <v>47.6</v>
      </c>
      <c r="N66" s="2">
        <v>45.5</v>
      </c>
      <c r="O66" s="2">
        <f t="shared" si="1"/>
        <v>2.1000000000000014</v>
      </c>
      <c r="P66" s="2">
        <v>310</v>
      </c>
      <c r="Q66" s="2">
        <v>242</v>
      </c>
      <c r="R66" s="2">
        <f t="shared" si="2"/>
        <v>68</v>
      </c>
      <c r="S66" s="2">
        <v>10</v>
      </c>
      <c r="T66" s="2">
        <v>10.3</v>
      </c>
      <c r="U66" s="2">
        <f t="shared" si="3"/>
        <v>-0.30000000000000071</v>
      </c>
      <c r="V66" s="2">
        <v>13.4</v>
      </c>
      <c r="W66" s="2">
        <v>13.5</v>
      </c>
      <c r="X66" s="2">
        <f t="shared" si="4"/>
        <v>-9.9999999999999645E-2</v>
      </c>
      <c r="Y66" s="2">
        <v>1625</v>
      </c>
      <c r="Z66" s="2">
        <v>82</v>
      </c>
      <c r="AA66" s="2">
        <v>39</v>
      </c>
      <c r="AB66" s="2">
        <v>262</v>
      </c>
      <c r="AC66" s="2">
        <v>1238</v>
      </c>
      <c r="AD66" s="2">
        <v>3.24</v>
      </c>
      <c r="AE66" s="2">
        <v>76.69</v>
      </c>
      <c r="AF66" s="2">
        <v>8.3000000000000004E-2</v>
      </c>
    </row>
    <row r="67" spans="1:32" x14ac:dyDescent="0.3">
      <c r="A67" s="2">
        <v>66</v>
      </c>
      <c r="B67" s="2" t="s">
        <v>90</v>
      </c>
      <c r="F67" s="2">
        <v>26</v>
      </c>
      <c r="G67" s="2" t="str">
        <f>LOOKUP(F67,{0,0;16,"16-19";20,"20-24";25,"25-29";30,"30-34";35,"35-39";40,"40-44";45,"45-49";50,"50-54";55,"55-59";60,"60-64"})</f>
        <v>25-29</v>
      </c>
      <c r="H67" s="2">
        <v>77</v>
      </c>
      <c r="I67" s="2">
        <v>172</v>
      </c>
      <c r="J67" s="2">
        <v>14.7</v>
      </c>
      <c r="K67" s="2">
        <v>14.2</v>
      </c>
      <c r="L67" s="2">
        <f t="shared" ref="L67:L91" si="5">J67-K67</f>
        <v>0.5</v>
      </c>
      <c r="M67" s="2">
        <v>43.5</v>
      </c>
      <c r="N67" s="2">
        <v>42.7</v>
      </c>
      <c r="O67" s="2">
        <f t="shared" ref="O67:O91" si="6">M67-N67</f>
        <v>0.79999999999999716</v>
      </c>
      <c r="P67" s="2">
        <v>231</v>
      </c>
      <c r="Q67" s="2">
        <v>178</v>
      </c>
      <c r="R67" s="2">
        <f t="shared" ref="R67:R91" si="7">P67-Q67</f>
        <v>53</v>
      </c>
      <c r="S67" s="2">
        <v>11.8</v>
      </c>
      <c r="T67" s="2">
        <v>12.3</v>
      </c>
      <c r="U67" s="2">
        <f t="shared" ref="U67:U91" si="8">S67-T67</f>
        <v>-0.5</v>
      </c>
      <c r="V67" s="2">
        <v>17.2</v>
      </c>
      <c r="W67" s="2">
        <v>18</v>
      </c>
      <c r="X67" s="2">
        <f t="shared" ref="X67:X91" si="9">V67-W67</f>
        <v>-0.80000000000000071</v>
      </c>
      <c r="Y67" s="2">
        <v>2578</v>
      </c>
      <c r="Z67" s="2">
        <v>98</v>
      </c>
      <c r="AA67" s="2">
        <v>52</v>
      </c>
      <c r="AB67" s="2">
        <v>260</v>
      </c>
      <c r="AC67" s="2">
        <v>1682</v>
      </c>
      <c r="AD67" s="2">
        <v>4.37</v>
      </c>
      <c r="AE67" s="2">
        <v>97.11</v>
      </c>
      <c r="AF67" s="2">
        <v>8.4000000000000005E-2</v>
      </c>
    </row>
    <row r="68" spans="1:32" x14ac:dyDescent="0.3">
      <c r="A68" s="2">
        <v>67</v>
      </c>
      <c r="B68" s="2" t="s">
        <v>90</v>
      </c>
      <c r="F68" s="2">
        <v>24</v>
      </c>
      <c r="G68" s="2" t="str">
        <f>LOOKUP(F68,{0,0;16,"16-19";20,"20-24";25,"25-29";30,"30-34";35,"35-39";40,"40-44";45,"45-49";50,"50-54";55,"55-59";60,"60-64"})</f>
        <v>20-24</v>
      </c>
      <c r="H68" s="2">
        <v>83</v>
      </c>
      <c r="I68" s="2">
        <v>175</v>
      </c>
      <c r="J68" s="2">
        <v>12.7</v>
      </c>
      <c r="K68" s="2">
        <v>12.3</v>
      </c>
      <c r="L68" s="2">
        <f t="shared" si="5"/>
        <v>0.39999999999999858</v>
      </c>
      <c r="M68" s="2">
        <v>38.299999999999997</v>
      </c>
      <c r="N68" s="2">
        <v>37.5</v>
      </c>
      <c r="O68" s="2">
        <f t="shared" si="6"/>
        <v>0.79999999999999716</v>
      </c>
      <c r="P68" s="2">
        <v>325</v>
      </c>
      <c r="Q68" s="2">
        <v>262</v>
      </c>
      <c r="R68" s="2">
        <f t="shared" si="7"/>
        <v>63</v>
      </c>
      <c r="S68" s="2">
        <v>9.6</v>
      </c>
      <c r="T68" s="2">
        <v>9.4</v>
      </c>
      <c r="U68" s="2">
        <f t="shared" si="8"/>
        <v>0.19999999999999929</v>
      </c>
      <c r="V68" s="2">
        <v>11</v>
      </c>
      <c r="W68" s="2">
        <v>11.4</v>
      </c>
      <c r="X68" s="2">
        <f t="shared" si="9"/>
        <v>-0.40000000000000036</v>
      </c>
      <c r="Y68" s="2">
        <v>1909</v>
      </c>
      <c r="Z68" s="2">
        <v>96</v>
      </c>
      <c r="AA68" s="2">
        <v>39</v>
      </c>
      <c r="AB68" s="2">
        <v>283</v>
      </c>
      <c r="AC68" s="2">
        <v>1524</v>
      </c>
      <c r="AD68" s="2">
        <v>4.3099999999999996</v>
      </c>
      <c r="AE68" s="2">
        <v>89.09</v>
      </c>
      <c r="AF68" s="2">
        <v>0.11</v>
      </c>
    </row>
    <row r="69" spans="1:32" x14ac:dyDescent="0.3">
      <c r="A69" s="2">
        <v>68</v>
      </c>
      <c r="B69" s="2" t="s">
        <v>90</v>
      </c>
      <c r="F69" s="2">
        <v>28</v>
      </c>
      <c r="G69" s="2" t="str">
        <f>LOOKUP(F69,{0,0;16,"16-19";20,"20-24";25,"25-29";30,"30-34";35,"35-39";40,"40-44";45,"45-49";50,"50-54";55,"55-59";60,"60-64"})</f>
        <v>25-29</v>
      </c>
      <c r="H69" s="2">
        <v>92</v>
      </c>
      <c r="I69" s="2">
        <v>180</v>
      </c>
      <c r="J69" s="2">
        <v>15.2</v>
      </c>
      <c r="K69" s="2">
        <v>14.7</v>
      </c>
      <c r="L69" s="2">
        <f t="shared" si="5"/>
        <v>0.5</v>
      </c>
      <c r="M69" s="2">
        <v>45.5</v>
      </c>
      <c r="N69" s="2">
        <v>44.9</v>
      </c>
      <c r="O69" s="2">
        <f t="shared" si="6"/>
        <v>0.60000000000000142</v>
      </c>
      <c r="P69" s="2">
        <v>306</v>
      </c>
      <c r="Q69" s="2">
        <v>264</v>
      </c>
      <c r="R69" s="2">
        <f t="shared" si="7"/>
        <v>42</v>
      </c>
      <c r="S69" s="2">
        <v>9.5</v>
      </c>
      <c r="T69" s="2">
        <v>9.9</v>
      </c>
      <c r="U69" s="2">
        <f t="shared" si="8"/>
        <v>-0.40000000000000036</v>
      </c>
      <c r="V69" s="2">
        <v>11</v>
      </c>
      <c r="W69" s="2">
        <v>12.6</v>
      </c>
      <c r="X69" s="2">
        <f t="shared" si="9"/>
        <v>-1.5999999999999996</v>
      </c>
      <c r="Y69" s="2">
        <v>1991</v>
      </c>
      <c r="Z69" s="2">
        <v>98</v>
      </c>
      <c r="AA69" s="2">
        <v>40</v>
      </c>
      <c r="AB69" s="2">
        <v>282</v>
      </c>
      <c r="AC69" s="2">
        <v>1563</v>
      </c>
      <c r="AD69" s="2">
        <v>4.4000000000000004</v>
      </c>
      <c r="AE69" s="2">
        <v>82.06</v>
      </c>
      <c r="AF69" s="2">
        <v>0.11</v>
      </c>
    </row>
    <row r="70" spans="1:32" x14ac:dyDescent="0.3">
      <c r="A70" s="2">
        <v>69</v>
      </c>
      <c r="B70" s="2" t="s">
        <v>90</v>
      </c>
      <c r="F70" s="2">
        <v>21</v>
      </c>
      <c r="G70" s="2" t="str">
        <f>LOOKUP(F70,{0,0;16,"16-19";20,"20-24";25,"25-29";30,"30-34";35,"35-39";40,"40-44";45,"45-49";50,"50-54";55,"55-59";60,"60-64"})</f>
        <v>20-24</v>
      </c>
      <c r="H70" s="2">
        <v>62</v>
      </c>
      <c r="I70" s="2">
        <v>171</v>
      </c>
      <c r="J70" s="2">
        <v>15.4</v>
      </c>
      <c r="K70" s="2">
        <v>15.1</v>
      </c>
      <c r="L70" s="2">
        <f t="shared" si="5"/>
        <v>0.30000000000000071</v>
      </c>
      <c r="M70" s="2">
        <v>46.1</v>
      </c>
      <c r="N70" s="2">
        <v>44.8</v>
      </c>
      <c r="O70" s="2">
        <f t="shared" si="6"/>
        <v>1.3000000000000043</v>
      </c>
      <c r="P70" s="2">
        <v>316</v>
      </c>
      <c r="Q70" s="2">
        <v>208</v>
      </c>
      <c r="R70" s="2">
        <f t="shared" si="7"/>
        <v>108</v>
      </c>
      <c r="S70" s="2">
        <v>7.4</v>
      </c>
      <c r="T70" s="2">
        <v>7.7</v>
      </c>
      <c r="U70" s="2">
        <f t="shared" si="8"/>
        <v>-0.29999999999999982</v>
      </c>
      <c r="V70" s="2">
        <v>7.9</v>
      </c>
      <c r="W70" s="2">
        <v>8.1</v>
      </c>
      <c r="X70" s="2">
        <f t="shared" si="9"/>
        <v>-0.19999999999999929</v>
      </c>
      <c r="Y70" s="2">
        <v>2011</v>
      </c>
      <c r="Z70" s="2">
        <v>88</v>
      </c>
      <c r="AA70" s="2">
        <v>45</v>
      </c>
      <c r="AB70" s="2">
        <v>262</v>
      </c>
      <c r="AC70" s="2">
        <v>1699</v>
      </c>
      <c r="AD70" s="2">
        <v>4.45</v>
      </c>
      <c r="AE70" s="2">
        <v>97.94</v>
      </c>
      <c r="AF70" s="2">
        <v>0.09</v>
      </c>
    </row>
    <row r="71" spans="1:32" x14ac:dyDescent="0.3">
      <c r="A71" s="2">
        <v>70</v>
      </c>
      <c r="B71" s="2" t="s">
        <v>90</v>
      </c>
      <c r="F71" s="2">
        <v>42</v>
      </c>
      <c r="G71" s="2" t="str">
        <f>LOOKUP(F71,{0,0;16,"16-19";20,"20-24";25,"25-29";30,"30-34";35,"35-39";40,"40-44";45,"45-49";50,"50-54";55,"55-59";60,"60-64"})</f>
        <v>40-44</v>
      </c>
      <c r="H71" s="2">
        <v>75</v>
      </c>
      <c r="I71" s="2">
        <v>172</v>
      </c>
      <c r="J71" s="2">
        <v>12.8</v>
      </c>
      <c r="K71" s="2">
        <v>12</v>
      </c>
      <c r="L71" s="2">
        <f t="shared" si="5"/>
        <v>0.80000000000000071</v>
      </c>
      <c r="M71" s="2">
        <v>40.5</v>
      </c>
      <c r="N71" s="2">
        <v>39</v>
      </c>
      <c r="O71" s="2">
        <f t="shared" si="6"/>
        <v>1.5</v>
      </c>
      <c r="P71" s="2">
        <v>331</v>
      </c>
      <c r="Q71" s="2">
        <v>273</v>
      </c>
      <c r="R71" s="2">
        <f t="shared" si="7"/>
        <v>58</v>
      </c>
      <c r="S71" s="2">
        <v>9.1999999999999993</v>
      </c>
      <c r="T71" s="2">
        <v>9.6</v>
      </c>
      <c r="U71" s="2">
        <f t="shared" si="8"/>
        <v>-0.40000000000000036</v>
      </c>
      <c r="V71" s="2">
        <v>10.7</v>
      </c>
      <c r="W71" s="2">
        <v>11</v>
      </c>
      <c r="X71" s="2">
        <f t="shared" si="9"/>
        <v>-0.30000000000000071</v>
      </c>
      <c r="Y71" s="2">
        <v>1881</v>
      </c>
      <c r="Z71" s="2">
        <v>94</v>
      </c>
      <c r="AA71" s="2">
        <v>40</v>
      </c>
      <c r="AB71" s="2">
        <v>260</v>
      </c>
      <c r="AC71" s="2">
        <v>1791</v>
      </c>
      <c r="AD71" s="2">
        <v>4.6500000000000004</v>
      </c>
      <c r="AE71" s="2">
        <v>98.39</v>
      </c>
      <c r="AF71" s="2">
        <v>0.11</v>
      </c>
    </row>
    <row r="72" spans="1:32" x14ac:dyDescent="0.3">
      <c r="A72" s="2">
        <v>71</v>
      </c>
      <c r="B72" s="2" t="s">
        <v>90</v>
      </c>
      <c r="F72" s="2">
        <v>32</v>
      </c>
      <c r="G72" s="2" t="str">
        <f>LOOKUP(F72,{0,0;16,"16-19";20,"20-24";25,"25-29";30,"30-34";35,"35-39";40,"40-44";45,"45-49";50,"50-54";55,"55-59";60,"60-64"})</f>
        <v>30-34</v>
      </c>
      <c r="H72" s="2">
        <v>75</v>
      </c>
      <c r="I72" s="2">
        <v>170</v>
      </c>
      <c r="J72" s="2">
        <v>15</v>
      </c>
      <c r="K72" s="2">
        <v>14.5</v>
      </c>
      <c r="L72" s="2">
        <f t="shared" si="5"/>
        <v>0.5</v>
      </c>
      <c r="M72" s="2">
        <v>42</v>
      </c>
      <c r="N72" s="2">
        <v>41</v>
      </c>
      <c r="O72" s="2">
        <f t="shared" si="6"/>
        <v>1</v>
      </c>
      <c r="P72" s="2">
        <v>260</v>
      </c>
      <c r="Q72" s="2">
        <v>200</v>
      </c>
      <c r="R72" s="2">
        <f t="shared" si="7"/>
        <v>60</v>
      </c>
      <c r="S72" s="2">
        <v>10.5</v>
      </c>
      <c r="T72" s="2">
        <v>11</v>
      </c>
      <c r="U72" s="2">
        <f t="shared" si="8"/>
        <v>-0.5</v>
      </c>
      <c r="V72" s="2">
        <v>12</v>
      </c>
      <c r="W72" s="2">
        <v>12.5</v>
      </c>
      <c r="X72" s="2">
        <f t="shared" si="9"/>
        <v>-0.5</v>
      </c>
      <c r="Y72" s="2">
        <v>2500</v>
      </c>
      <c r="Z72" s="2">
        <v>82</v>
      </c>
      <c r="AA72" s="2">
        <v>60</v>
      </c>
      <c r="AB72" s="2">
        <v>270</v>
      </c>
      <c r="AC72" s="2">
        <v>1500</v>
      </c>
      <c r="AD72" s="2">
        <v>3.9</v>
      </c>
      <c r="AE72" s="2">
        <v>78</v>
      </c>
      <c r="AF72" s="2">
        <v>6.5000000000000002E-2</v>
      </c>
    </row>
    <row r="73" spans="1:32" x14ac:dyDescent="0.3">
      <c r="A73" s="2">
        <v>72</v>
      </c>
      <c r="B73" s="2" t="s">
        <v>90</v>
      </c>
      <c r="F73" s="2">
        <v>29</v>
      </c>
      <c r="G73" s="2" t="str">
        <f>LOOKUP(F73,{0,0;16,"16-19";20,"20-24";25,"25-29";30,"30-34";35,"35-39";40,"40-44";45,"45-49";50,"50-54";55,"55-59";60,"60-64"})</f>
        <v>25-29</v>
      </c>
      <c r="H73" s="2">
        <v>68</v>
      </c>
      <c r="I73" s="2">
        <v>165</v>
      </c>
      <c r="J73" s="2">
        <v>14.8</v>
      </c>
      <c r="K73" s="2">
        <v>14.2</v>
      </c>
      <c r="L73" s="2">
        <f t="shared" si="5"/>
        <v>0.60000000000000142</v>
      </c>
      <c r="M73" s="2">
        <v>40.5</v>
      </c>
      <c r="N73" s="2">
        <v>39.5</v>
      </c>
      <c r="O73" s="2">
        <f t="shared" si="6"/>
        <v>1</v>
      </c>
      <c r="P73" s="2">
        <v>240</v>
      </c>
      <c r="Q73" s="2">
        <v>180</v>
      </c>
      <c r="R73" s="2">
        <f t="shared" si="7"/>
        <v>60</v>
      </c>
      <c r="S73" s="2">
        <v>9.8000000000000007</v>
      </c>
      <c r="T73" s="2">
        <v>10.199999999999999</v>
      </c>
      <c r="U73" s="2">
        <f t="shared" si="8"/>
        <v>-0.39999999999999858</v>
      </c>
      <c r="V73" s="2">
        <v>11.5</v>
      </c>
      <c r="W73" s="2">
        <v>12</v>
      </c>
      <c r="X73" s="2">
        <f t="shared" si="9"/>
        <v>-0.5</v>
      </c>
      <c r="Y73" s="2">
        <v>2600</v>
      </c>
      <c r="Z73" s="2">
        <v>82</v>
      </c>
      <c r="AA73" s="2">
        <v>62</v>
      </c>
      <c r="AB73" s="2">
        <v>265</v>
      </c>
      <c r="AC73" s="2">
        <v>1550</v>
      </c>
      <c r="AD73" s="2">
        <v>4.0999999999999996</v>
      </c>
      <c r="AE73" s="2">
        <v>80.5</v>
      </c>
      <c r="AF73" s="2">
        <v>0.06</v>
      </c>
    </row>
    <row r="74" spans="1:32" x14ac:dyDescent="0.3">
      <c r="A74" s="2">
        <v>73</v>
      </c>
      <c r="B74" s="2" t="s">
        <v>90</v>
      </c>
      <c r="F74" s="2">
        <v>35</v>
      </c>
      <c r="G74" s="2" t="str">
        <f>LOOKUP(F74,{0,0;16,"16-19";20,"20-24";25,"25-29";30,"30-34";35,"35-39";40,"40-44";45,"45-49";50,"50-54";55,"55-59";60,"60-64"})</f>
        <v>35-39</v>
      </c>
      <c r="H74" s="2">
        <v>80</v>
      </c>
      <c r="I74" s="2">
        <v>175</v>
      </c>
      <c r="J74" s="2">
        <v>15.5</v>
      </c>
      <c r="K74" s="2">
        <v>15</v>
      </c>
      <c r="L74" s="2">
        <f t="shared" si="5"/>
        <v>0.5</v>
      </c>
      <c r="M74" s="2">
        <v>43</v>
      </c>
      <c r="N74" s="2">
        <v>42</v>
      </c>
      <c r="O74" s="2">
        <f t="shared" si="6"/>
        <v>1</v>
      </c>
      <c r="P74" s="2">
        <v>280</v>
      </c>
      <c r="Q74" s="2">
        <v>220</v>
      </c>
      <c r="R74" s="2">
        <f t="shared" si="7"/>
        <v>60</v>
      </c>
      <c r="S74" s="2">
        <v>10.199999999999999</v>
      </c>
      <c r="T74" s="2">
        <v>10.7</v>
      </c>
      <c r="U74" s="2">
        <f t="shared" si="8"/>
        <v>-0.5</v>
      </c>
      <c r="V74" s="2">
        <v>13</v>
      </c>
      <c r="W74" s="2">
        <v>13.5</v>
      </c>
      <c r="X74" s="2">
        <f t="shared" si="9"/>
        <v>-0.5</v>
      </c>
      <c r="Y74" s="2">
        <v>2700</v>
      </c>
      <c r="Z74" s="2">
        <v>82</v>
      </c>
      <c r="AA74" s="2">
        <v>65</v>
      </c>
      <c r="AB74" s="2">
        <v>275</v>
      </c>
      <c r="AC74" s="2">
        <v>1600</v>
      </c>
      <c r="AD74" s="2">
        <v>4.2</v>
      </c>
      <c r="AE74" s="2">
        <v>81</v>
      </c>
      <c r="AF74" s="2">
        <v>6.4000000000000001E-2</v>
      </c>
    </row>
    <row r="75" spans="1:32" x14ac:dyDescent="0.3">
      <c r="A75" s="2">
        <v>74</v>
      </c>
      <c r="B75" s="2" t="s">
        <v>90</v>
      </c>
      <c r="F75" s="2">
        <v>27</v>
      </c>
      <c r="G75" s="2" t="str">
        <f>LOOKUP(F75,{0,0;16,"16-19";20,"20-24";25,"25-29";30,"30-34";35,"35-39";40,"40-44";45,"45-49";50,"50-54";55,"55-59";60,"60-64"})</f>
        <v>25-29</v>
      </c>
      <c r="H75" s="2">
        <v>70</v>
      </c>
      <c r="I75" s="2">
        <v>168</v>
      </c>
      <c r="J75" s="2">
        <v>14.9</v>
      </c>
      <c r="K75" s="2">
        <v>14.4</v>
      </c>
      <c r="L75" s="2">
        <f t="shared" si="5"/>
        <v>0.5</v>
      </c>
      <c r="M75" s="2">
        <v>41</v>
      </c>
      <c r="N75" s="2">
        <v>40</v>
      </c>
      <c r="O75" s="2">
        <f t="shared" si="6"/>
        <v>1</v>
      </c>
      <c r="P75" s="2">
        <v>250</v>
      </c>
      <c r="Q75" s="2">
        <v>190</v>
      </c>
      <c r="R75" s="2">
        <f t="shared" si="7"/>
        <v>60</v>
      </c>
      <c r="S75" s="2">
        <v>9.5</v>
      </c>
      <c r="T75" s="2">
        <v>10</v>
      </c>
      <c r="U75" s="2">
        <f t="shared" si="8"/>
        <v>-0.5</v>
      </c>
      <c r="V75" s="2">
        <v>10.5</v>
      </c>
      <c r="W75" s="2">
        <v>11</v>
      </c>
      <c r="X75" s="2">
        <f t="shared" si="9"/>
        <v>-0.5</v>
      </c>
      <c r="Y75" s="2">
        <v>2550</v>
      </c>
      <c r="Z75" s="2">
        <v>86</v>
      </c>
      <c r="AA75" s="2">
        <v>58</v>
      </c>
      <c r="AB75" s="2">
        <v>260</v>
      </c>
      <c r="AC75" s="2">
        <v>1450</v>
      </c>
      <c r="AD75" s="2">
        <v>3.8</v>
      </c>
      <c r="AE75" s="2">
        <v>77.5</v>
      </c>
      <c r="AF75" s="2">
        <v>6.5000000000000002E-2</v>
      </c>
    </row>
    <row r="76" spans="1:32" x14ac:dyDescent="0.3">
      <c r="A76" s="2">
        <v>75</v>
      </c>
      <c r="B76" s="2" t="s">
        <v>90</v>
      </c>
      <c r="F76" s="2">
        <v>31</v>
      </c>
      <c r="G76" s="2" t="str">
        <f>LOOKUP(F76,{0,0;16,"16-19";20,"20-24";25,"25-29";30,"30-34";35,"35-39";40,"40-44";45,"45-49";50,"50-54";55,"55-59";60,"60-64"})</f>
        <v>30-34</v>
      </c>
      <c r="H76" s="2">
        <v>74</v>
      </c>
      <c r="I76" s="2">
        <v>172</v>
      </c>
      <c r="J76" s="2">
        <v>15.2</v>
      </c>
      <c r="K76" s="2">
        <v>14.7</v>
      </c>
      <c r="L76" s="2">
        <f t="shared" si="5"/>
        <v>0.5</v>
      </c>
      <c r="M76" s="2">
        <v>42.5</v>
      </c>
      <c r="N76" s="2">
        <v>41.5</v>
      </c>
      <c r="O76" s="2">
        <f t="shared" si="6"/>
        <v>1</v>
      </c>
      <c r="P76" s="2">
        <v>270</v>
      </c>
      <c r="Q76" s="2">
        <v>210</v>
      </c>
      <c r="R76" s="2">
        <f t="shared" si="7"/>
        <v>60</v>
      </c>
      <c r="S76" s="2">
        <v>10</v>
      </c>
      <c r="T76" s="2">
        <v>10.5</v>
      </c>
      <c r="U76" s="2">
        <f t="shared" si="8"/>
        <v>-0.5</v>
      </c>
      <c r="V76" s="2">
        <v>12.5</v>
      </c>
      <c r="W76" s="2">
        <v>13</v>
      </c>
      <c r="X76" s="2">
        <f t="shared" si="9"/>
        <v>-0.5</v>
      </c>
      <c r="Y76" s="2">
        <v>2650</v>
      </c>
      <c r="Z76" s="2">
        <v>84</v>
      </c>
      <c r="AA76" s="2">
        <v>63</v>
      </c>
      <c r="AB76" s="2">
        <v>268</v>
      </c>
      <c r="AC76" s="2">
        <v>1520</v>
      </c>
      <c r="AD76" s="2">
        <v>4</v>
      </c>
      <c r="AE76" s="2">
        <v>79</v>
      </c>
      <c r="AF76" s="2">
        <v>0.06</v>
      </c>
    </row>
    <row r="77" spans="1:32" x14ac:dyDescent="0.3">
      <c r="A77" s="2">
        <v>76</v>
      </c>
      <c r="B77" s="2" t="s">
        <v>90</v>
      </c>
      <c r="F77" s="2">
        <v>31</v>
      </c>
      <c r="G77" s="2" t="str">
        <f>LOOKUP(F77,{0,0;16,"16-19";20,"20-24";25,"25-29";30,"30-34";35,"35-39";40,"40-44";45,"45-49";50,"50-54";55,"55-59";60,"60-64"})</f>
        <v>30-34</v>
      </c>
      <c r="H77" s="2">
        <v>75</v>
      </c>
      <c r="I77" s="2">
        <v>169</v>
      </c>
      <c r="J77" s="2">
        <v>14.7</v>
      </c>
      <c r="K77" s="2">
        <v>14.3</v>
      </c>
      <c r="L77" s="2">
        <f t="shared" si="5"/>
        <v>0.39999999999999858</v>
      </c>
      <c r="M77" s="2">
        <v>42.1</v>
      </c>
      <c r="N77" s="2">
        <v>41.5</v>
      </c>
      <c r="O77" s="2">
        <f t="shared" si="6"/>
        <v>0.60000000000000142</v>
      </c>
      <c r="P77" s="2">
        <v>210</v>
      </c>
      <c r="Q77" s="2">
        <v>165</v>
      </c>
      <c r="R77" s="2">
        <f t="shared" si="7"/>
        <v>45</v>
      </c>
      <c r="S77" s="2">
        <v>10.199999999999999</v>
      </c>
      <c r="T77" s="2">
        <v>11</v>
      </c>
      <c r="U77" s="2">
        <f t="shared" si="8"/>
        <v>-0.80000000000000071</v>
      </c>
      <c r="V77" s="2">
        <v>15</v>
      </c>
      <c r="W77" s="2">
        <v>16.2</v>
      </c>
      <c r="X77" s="2">
        <f t="shared" si="9"/>
        <v>-1.1999999999999993</v>
      </c>
      <c r="Y77" s="2">
        <v>2890</v>
      </c>
      <c r="Z77" s="2">
        <v>90</v>
      </c>
      <c r="AA77" s="2">
        <v>63</v>
      </c>
      <c r="AB77" s="2">
        <v>263</v>
      </c>
      <c r="AC77" s="2">
        <v>1510</v>
      </c>
      <c r="AD77" s="2">
        <v>4.05</v>
      </c>
      <c r="AE77" s="2">
        <v>77.5</v>
      </c>
      <c r="AF77" s="2">
        <v>6.4000000000000001E-2</v>
      </c>
    </row>
    <row r="78" spans="1:32" x14ac:dyDescent="0.3">
      <c r="A78" s="2">
        <v>77</v>
      </c>
      <c r="B78" s="2" t="s">
        <v>90</v>
      </c>
      <c r="F78" s="2">
        <v>29</v>
      </c>
      <c r="G78" s="2" t="str">
        <f>LOOKUP(F78,{0,0;16,"16-19";20,"20-24";25,"25-29";30,"30-34";35,"35-39";40,"40-44";45,"45-49";50,"50-54";55,"55-59";60,"60-64"})</f>
        <v>25-29</v>
      </c>
      <c r="H78" s="2">
        <v>80</v>
      </c>
      <c r="I78" s="2">
        <v>173</v>
      </c>
      <c r="J78" s="2">
        <v>15.4</v>
      </c>
      <c r="K78" s="2">
        <v>14.8</v>
      </c>
      <c r="L78" s="2">
        <f t="shared" si="5"/>
        <v>0.59999999999999964</v>
      </c>
      <c r="M78" s="2">
        <v>43.5</v>
      </c>
      <c r="N78" s="2">
        <v>42</v>
      </c>
      <c r="O78" s="2">
        <f t="shared" si="6"/>
        <v>1.5</v>
      </c>
      <c r="P78" s="2">
        <v>250</v>
      </c>
      <c r="Q78" s="2">
        <v>200</v>
      </c>
      <c r="R78" s="2">
        <f t="shared" si="7"/>
        <v>50</v>
      </c>
      <c r="S78" s="2">
        <v>9.5</v>
      </c>
      <c r="T78" s="2">
        <v>10.5</v>
      </c>
      <c r="U78" s="2">
        <f t="shared" si="8"/>
        <v>-1</v>
      </c>
      <c r="V78" s="2">
        <v>13.5</v>
      </c>
      <c r="W78" s="2">
        <v>14</v>
      </c>
      <c r="X78" s="2">
        <f t="shared" si="9"/>
        <v>-0.5</v>
      </c>
      <c r="Y78" s="2">
        <v>3000</v>
      </c>
      <c r="Z78" s="2">
        <v>84</v>
      </c>
      <c r="AA78" s="2">
        <v>70</v>
      </c>
      <c r="AB78" s="2">
        <v>270</v>
      </c>
      <c r="AC78" s="2">
        <v>1445</v>
      </c>
      <c r="AD78" s="2">
        <v>3.8</v>
      </c>
      <c r="AE78" s="2">
        <v>75.8</v>
      </c>
      <c r="AF78" s="2">
        <v>0.05</v>
      </c>
    </row>
    <row r="79" spans="1:32" x14ac:dyDescent="0.3">
      <c r="A79" s="2">
        <v>78</v>
      </c>
      <c r="B79" s="2" t="s">
        <v>90</v>
      </c>
      <c r="F79" s="2">
        <v>27</v>
      </c>
      <c r="G79" s="2" t="str">
        <f>LOOKUP(F79,{0,0;16,"16-19";20,"20-24";25,"25-29";30,"30-34";35,"35-39";40,"40-44";45,"45-49";50,"50-54";55,"55-59";60,"60-64"})</f>
        <v>25-29</v>
      </c>
      <c r="H79" s="2">
        <v>72</v>
      </c>
      <c r="I79" s="2">
        <v>176</v>
      </c>
      <c r="J79" s="2">
        <v>15.1</v>
      </c>
      <c r="K79" s="2">
        <v>14.6</v>
      </c>
      <c r="L79" s="2">
        <f t="shared" si="5"/>
        <v>0.5</v>
      </c>
      <c r="M79" s="2">
        <v>40.5</v>
      </c>
      <c r="N79" s="2">
        <v>41.2</v>
      </c>
      <c r="O79" s="2">
        <f t="shared" si="6"/>
        <v>-0.70000000000000284</v>
      </c>
      <c r="P79" s="2">
        <v>185</v>
      </c>
      <c r="Q79" s="2">
        <v>145</v>
      </c>
      <c r="R79" s="2">
        <f t="shared" si="7"/>
        <v>40</v>
      </c>
      <c r="S79" s="2">
        <v>10.8</v>
      </c>
      <c r="T79" s="2">
        <v>10.8</v>
      </c>
      <c r="U79" s="2">
        <f t="shared" si="8"/>
        <v>0</v>
      </c>
      <c r="V79" s="2">
        <v>12.2</v>
      </c>
      <c r="W79" s="2">
        <v>13.5</v>
      </c>
      <c r="X79" s="2">
        <f t="shared" si="9"/>
        <v>-1.3000000000000007</v>
      </c>
      <c r="Y79" s="2">
        <v>3200</v>
      </c>
      <c r="Z79" s="2">
        <v>54</v>
      </c>
      <c r="AA79" s="2">
        <v>59</v>
      </c>
      <c r="AB79" s="2">
        <v>258</v>
      </c>
      <c r="AC79" s="2">
        <v>1400</v>
      </c>
      <c r="AD79" s="2">
        <v>4.2</v>
      </c>
      <c r="AE79" s="2">
        <v>78.3</v>
      </c>
      <c r="AF79" s="2">
        <v>7.0999999999999994E-2</v>
      </c>
    </row>
    <row r="80" spans="1:32" x14ac:dyDescent="0.3">
      <c r="A80" s="2">
        <v>79</v>
      </c>
      <c r="B80" s="2" t="s">
        <v>90</v>
      </c>
      <c r="F80" s="2">
        <v>32</v>
      </c>
      <c r="G80" s="2" t="str">
        <f>LOOKUP(F80,{0,0;16,"16-19";20,"20-24";25,"25-29";30,"30-34";35,"35-39";40,"40-44";45,"45-49";50,"50-54";55,"55-59";60,"60-64"})</f>
        <v>30-34</v>
      </c>
      <c r="H80" s="2">
        <v>66</v>
      </c>
      <c r="I80" s="2">
        <v>165</v>
      </c>
      <c r="J80" s="2">
        <v>14.9</v>
      </c>
      <c r="K80" s="2">
        <v>14.5</v>
      </c>
      <c r="L80" s="2">
        <f t="shared" si="5"/>
        <v>0.40000000000000036</v>
      </c>
      <c r="M80" s="2">
        <v>44.2</v>
      </c>
      <c r="N80" s="2">
        <v>43.5</v>
      </c>
      <c r="O80" s="2">
        <f t="shared" si="6"/>
        <v>0.70000000000000284</v>
      </c>
      <c r="P80" s="2">
        <v>220</v>
      </c>
      <c r="Q80" s="2">
        <v>175</v>
      </c>
      <c r="R80" s="2">
        <f t="shared" si="7"/>
        <v>45</v>
      </c>
      <c r="S80" s="2">
        <v>10</v>
      </c>
      <c r="T80" s="2">
        <v>10.1</v>
      </c>
      <c r="U80" s="2">
        <f t="shared" si="8"/>
        <v>-9.9999999999999645E-2</v>
      </c>
      <c r="V80" s="2">
        <v>14</v>
      </c>
      <c r="W80" s="2">
        <v>14.7</v>
      </c>
      <c r="X80" s="2">
        <f t="shared" si="9"/>
        <v>-0.69999999999999929</v>
      </c>
      <c r="Y80" s="2">
        <v>3100</v>
      </c>
      <c r="Z80" s="2">
        <v>92</v>
      </c>
      <c r="AA80" s="2">
        <v>66</v>
      </c>
      <c r="AB80" s="2">
        <v>265</v>
      </c>
      <c r="AC80" s="2">
        <v>1550</v>
      </c>
      <c r="AD80" s="2">
        <v>4</v>
      </c>
      <c r="AE80" s="2">
        <v>79</v>
      </c>
      <c r="AF80" s="2">
        <v>0.06</v>
      </c>
    </row>
    <row r="81" spans="1:32" x14ac:dyDescent="0.3">
      <c r="A81" s="2">
        <v>80</v>
      </c>
      <c r="B81" s="2" t="s">
        <v>90</v>
      </c>
      <c r="F81" s="2">
        <v>28</v>
      </c>
      <c r="G81" s="2" t="str">
        <f>LOOKUP(F81,{0,0;16,"16-19";20,"20-24";25,"25-29";30,"30-34";35,"35-39";40,"40-44";45,"45-49";50,"50-54";55,"55-59";60,"60-64"})</f>
        <v>25-29</v>
      </c>
      <c r="H81" s="2">
        <v>68</v>
      </c>
      <c r="I81" s="2">
        <v>171</v>
      </c>
      <c r="J81" s="2">
        <v>15</v>
      </c>
      <c r="K81" s="2">
        <v>14.2</v>
      </c>
      <c r="L81" s="2">
        <f t="shared" si="5"/>
        <v>0.80000000000000071</v>
      </c>
      <c r="M81" s="2">
        <v>41.5</v>
      </c>
      <c r="N81" s="2">
        <v>41</v>
      </c>
      <c r="O81" s="2">
        <f t="shared" si="6"/>
        <v>0.5</v>
      </c>
      <c r="P81" s="2">
        <v>240</v>
      </c>
      <c r="Q81" s="2">
        <v>160</v>
      </c>
      <c r="R81" s="2">
        <f t="shared" si="7"/>
        <v>80</v>
      </c>
      <c r="S81" s="2">
        <v>9.9</v>
      </c>
      <c r="T81" s="2">
        <v>10.4</v>
      </c>
      <c r="U81" s="2">
        <f t="shared" si="8"/>
        <v>-0.5</v>
      </c>
      <c r="V81" s="2">
        <v>13.5</v>
      </c>
      <c r="W81" s="2">
        <v>13.8</v>
      </c>
      <c r="X81" s="2">
        <f t="shared" si="9"/>
        <v>-0.30000000000000071</v>
      </c>
      <c r="Y81" s="2">
        <v>2700</v>
      </c>
      <c r="Z81" s="2">
        <v>86</v>
      </c>
      <c r="AA81" s="2">
        <v>62</v>
      </c>
      <c r="AB81" s="2">
        <v>272</v>
      </c>
      <c r="AC81" s="2">
        <v>1600</v>
      </c>
      <c r="AD81" s="2">
        <v>3.95</v>
      </c>
      <c r="AE81" s="2">
        <v>76.8</v>
      </c>
      <c r="AF81" s="2">
        <v>6.3E-2</v>
      </c>
    </row>
    <row r="82" spans="1:32" x14ac:dyDescent="0.3">
      <c r="A82" s="2">
        <v>81</v>
      </c>
      <c r="B82" s="2" t="s">
        <v>90</v>
      </c>
      <c r="F82" s="2">
        <v>34</v>
      </c>
      <c r="G82" s="2" t="str">
        <f>LOOKUP(F82,{0,0;16,"16-19";20,"20-24";25,"25-29";30,"30-34";35,"35-39";40,"40-44";45,"45-49";50,"50-54";55,"55-59";60,"60-64"})</f>
        <v>30-34</v>
      </c>
      <c r="H82" s="2">
        <v>70</v>
      </c>
      <c r="I82" s="2">
        <v>170</v>
      </c>
      <c r="J82" s="2">
        <v>14.6</v>
      </c>
      <c r="K82" s="2">
        <v>14.7</v>
      </c>
      <c r="L82" s="2">
        <f t="shared" si="5"/>
        <v>-9.9999999999999645E-2</v>
      </c>
      <c r="M82" s="2">
        <v>43</v>
      </c>
      <c r="N82" s="2">
        <v>42.3</v>
      </c>
      <c r="O82" s="2">
        <f t="shared" si="6"/>
        <v>0.70000000000000284</v>
      </c>
      <c r="P82" s="2">
        <v>215</v>
      </c>
      <c r="Q82" s="2">
        <v>180</v>
      </c>
      <c r="R82" s="2">
        <f t="shared" si="7"/>
        <v>35</v>
      </c>
      <c r="S82" s="2">
        <v>10.1</v>
      </c>
      <c r="T82" s="2">
        <v>11</v>
      </c>
      <c r="U82" s="2">
        <f t="shared" si="8"/>
        <v>-0.90000000000000036</v>
      </c>
      <c r="V82" s="2">
        <v>12.5</v>
      </c>
      <c r="W82" s="2">
        <v>14.2</v>
      </c>
      <c r="X82" s="2">
        <f t="shared" si="9"/>
        <v>-1.6999999999999993</v>
      </c>
      <c r="Y82" s="2">
        <v>2950</v>
      </c>
      <c r="Z82" s="2">
        <v>86</v>
      </c>
      <c r="AA82" s="2">
        <v>68</v>
      </c>
      <c r="AB82" s="2">
        <v>265</v>
      </c>
      <c r="AC82" s="2">
        <v>1500</v>
      </c>
      <c r="AD82" s="2">
        <v>3.8</v>
      </c>
      <c r="AE82" s="2">
        <v>78.5</v>
      </c>
      <c r="AF82" s="2">
        <v>5.5E-2</v>
      </c>
    </row>
    <row r="83" spans="1:32" x14ac:dyDescent="0.3">
      <c r="A83" s="2">
        <v>82</v>
      </c>
      <c r="B83" s="2" t="s">
        <v>90</v>
      </c>
      <c r="F83" s="2">
        <v>29</v>
      </c>
      <c r="G83" s="2" t="str">
        <f>LOOKUP(F83,{0,0;16,"16-19";20,"20-24";25,"25-29";30,"30-34";35,"35-39";40,"40-44";45,"45-49";50,"50-54";55,"55-59";60,"60-64"})</f>
        <v>25-29</v>
      </c>
      <c r="H83" s="2">
        <v>65</v>
      </c>
      <c r="I83" s="2">
        <v>174</v>
      </c>
      <c r="J83" s="2">
        <v>15.3</v>
      </c>
      <c r="K83" s="2">
        <v>14.6</v>
      </c>
      <c r="L83" s="2">
        <f t="shared" si="5"/>
        <v>0.70000000000000107</v>
      </c>
      <c r="M83" s="2">
        <v>42.8</v>
      </c>
      <c r="N83" s="2">
        <v>42.4</v>
      </c>
      <c r="O83" s="2">
        <f t="shared" si="6"/>
        <v>0.39999999999999858</v>
      </c>
      <c r="P83" s="2">
        <v>230</v>
      </c>
      <c r="Q83" s="2">
        <v>155</v>
      </c>
      <c r="R83" s="2">
        <f t="shared" si="7"/>
        <v>75</v>
      </c>
      <c r="S83" s="2">
        <v>10.3</v>
      </c>
      <c r="T83" s="2">
        <v>10.9</v>
      </c>
      <c r="U83" s="2">
        <f t="shared" si="8"/>
        <v>-0.59999999999999964</v>
      </c>
      <c r="V83" s="2">
        <v>14</v>
      </c>
      <c r="W83" s="2">
        <v>14.5</v>
      </c>
      <c r="X83" s="2">
        <f t="shared" si="9"/>
        <v>-0.5</v>
      </c>
      <c r="Y83" s="2">
        <v>2850</v>
      </c>
      <c r="Z83" s="2">
        <v>80</v>
      </c>
      <c r="AA83" s="2">
        <v>71</v>
      </c>
      <c r="AB83" s="2">
        <v>280</v>
      </c>
      <c r="AC83" s="2">
        <v>1480</v>
      </c>
      <c r="AD83" s="2">
        <v>4.1500000000000004</v>
      </c>
      <c r="AE83" s="2">
        <v>80</v>
      </c>
      <c r="AF83" s="2">
        <v>0.05</v>
      </c>
    </row>
    <row r="84" spans="1:32" x14ac:dyDescent="0.3">
      <c r="A84" s="2">
        <v>83</v>
      </c>
      <c r="B84" s="2" t="s">
        <v>90</v>
      </c>
      <c r="F84" s="2">
        <v>25</v>
      </c>
      <c r="G84" s="2" t="str">
        <f>LOOKUP(F84,{0,0;16,"16-19";20,"20-24";25,"25-29";30,"30-34";35,"35-39";40,"40-44";45,"45-49";50,"50-54";55,"55-59";60,"60-64"})</f>
        <v>25-29</v>
      </c>
      <c r="H84" s="2">
        <v>78</v>
      </c>
      <c r="I84" s="2">
        <v>178</v>
      </c>
      <c r="J84" s="2">
        <v>14.7</v>
      </c>
      <c r="K84" s="2">
        <v>14.8</v>
      </c>
      <c r="L84" s="2">
        <f t="shared" si="5"/>
        <v>-0.10000000000000142</v>
      </c>
      <c r="M84" s="2">
        <v>44.3</v>
      </c>
      <c r="N84" s="2">
        <v>44</v>
      </c>
      <c r="O84" s="2">
        <f t="shared" si="6"/>
        <v>0.29999999999999716</v>
      </c>
      <c r="P84" s="2">
        <v>200</v>
      </c>
      <c r="Q84" s="2">
        <v>145</v>
      </c>
      <c r="R84" s="2">
        <f t="shared" si="7"/>
        <v>55</v>
      </c>
      <c r="S84" s="2">
        <v>10.199999999999999</v>
      </c>
      <c r="T84" s="2">
        <v>11.2</v>
      </c>
      <c r="U84" s="2">
        <f t="shared" si="8"/>
        <v>-1</v>
      </c>
      <c r="V84" s="2">
        <v>13</v>
      </c>
      <c r="W84" s="2">
        <v>15</v>
      </c>
      <c r="X84" s="2">
        <f t="shared" si="9"/>
        <v>-2</v>
      </c>
      <c r="Y84" s="2">
        <v>3150</v>
      </c>
      <c r="Z84" s="2">
        <v>96</v>
      </c>
      <c r="AA84" s="2">
        <v>65</v>
      </c>
      <c r="AB84" s="2">
        <v>275</v>
      </c>
      <c r="AC84" s="2">
        <v>1530</v>
      </c>
      <c r="AD84" s="2">
        <v>4.0999999999999996</v>
      </c>
      <c r="AE84" s="2">
        <v>77</v>
      </c>
      <c r="AF84" s="2">
        <v>6.3E-2</v>
      </c>
    </row>
    <row r="85" spans="1:32" x14ac:dyDescent="0.3">
      <c r="A85" s="2">
        <v>84</v>
      </c>
      <c r="B85" s="2" t="s">
        <v>90</v>
      </c>
      <c r="F85" s="2">
        <v>33</v>
      </c>
      <c r="G85" s="2" t="str">
        <f>LOOKUP(F85,{0,0;16,"16-19";20,"20-24";25,"25-29";30,"30-34";35,"35-39";40,"40-44";45,"45-49";50,"50-54";55,"55-59";60,"60-64"})</f>
        <v>30-34</v>
      </c>
      <c r="H85" s="2">
        <v>74</v>
      </c>
      <c r="I85" s="2">
        <v>175</v>
      </c>
      <c r="J85" s="2">
        <v>15</v>
      </c>
      <c r="K85" s="2">
        <v>14.4</v>
      </c>
      <c r="L85" s="2">
        <f t="shared" si="5"/>
        <v>0.59999999999999964</v>
      </c>
      <c r="M85" s="2">
        <v>41.8</v>
      </c>
      <c r="N85" s="2">
        <v>41.7</v>
      </c>
      <c r="O85" s="2">
        <f t="shared" si="6"/>
        <v>9.9999999999994316E-2</v>
      </c>
      <c r="P85" s="2">
        <v>265</v>
      </c>
      <c r="Q85" s="2">
        <v>215</v>
      </c>
      <c r="R85" s="2">
        <f t="shared" si="7"/>
        <v>50</v>
      </c>
      <c r="S85" s="2">
        <v>9.6999999999999993</v>
      </c>
      <c r="T85" s="2">
        <v>10.6</v>
      </c>
      <c r="U85" s="2">
        <f t="shared" si="8"/>
        <v>-0.90000000000000036</v>
      </c>
      <c r="V85" s="2">
        <v>12.5</v>
      </c>
      <c r="W85" s="2">
        <v>14.3</v>
      </c>
      <c r="X85" s="2">
        <f t="shared" si="9"/>
        <v>-1.8000000000000007</v>
      </c>
      <c r="Y85" s="2">
        <v>3300</v>
      </c>
      <c r="Z85" s="2">
        <v>110</v>
      </c>
      <c r="AA85" s="2">
        <v>60</v>
      </c>
      <c r="AB85" s="2">
        <v>265</v>
      </c>
      <c r="AC85" s="2">
        <v>1520</v>
      </c>
      <c r="AD85" s="2">
        <v>4</v>
      </c>
      <c r="AE85" s="2">
        <v>75.5</v>
      </c>
      <c r="AF85" s="2">
        <v>6.6000000000000003E-2</v>
      </c>
    </row>
    <row r="86" spans="1:32" x14ac:dyDescent="0.3">
      <c r="A86" s="2">
        <v>85</v>
      </c>
      <c r="B86" s="2" t="s">
        <v>90</v>
      </c>
      <c r="F86" s="2">
        <v>30</v>
      </c>
      <c r="G86" s="2" t="str">
        <f>LOOKUP(F86,{0,0;16,"16-19";20,"20-24";25,"25-29";30,"30-34";35,"35-39";40,"40-44";45,"45-49";50,"50-54";55,"55-59";60,"60-64"})</f>
        <v>30-34</v>
      </c>
      <c r="H86" s="2">
        <v>80</v>
      </c>
      <c r="I86" s="2">
        <v>160</v>
      </c>
      <c r="J86" s="2">
        <v>14.8</v>
      </c>
      <c r="K86" s="2">
        <v>14</v>
      </c>
      <c r="L86" s="2">
        <f t="shared" si="5"/>
        <v>0.80000000000000071</v>
      </c>
      <c r="M86" s="2">
        <v>40.700000000000003</v>
      </c>
      <c r="N86" s="2">
        <v>39.9</v>
      </c>
      <c r="O86" s="2">
        <f t="shared" si="6"/>
        <v>0.80000000000000426</v>
      </c>
      <c r="P86" s="2">
        <v>245</v>
      </c>
      <c r="Q86" s="2">
        <v>195</v>
      </c>
      <c r="R86" s="2">
        <f t="shared" si="7"/>
        <v>50</v>
      </c>
      <c r="S86" s="2">
        <v>10</v>
      </c>
      <c r="T86" s="2">
        <v>10.8</v>
      </c>
      <c r="U86" s="2">
        <f t="shared" si="8"/>
        <v>-0.80000000000000071</v>
      </c>
      <c r="V86" s="2">
        <v>14</v>
      </c>
      <c r="W86" s="2">
        <v>13.7</v>
      </c>
      <c r="X86" s="2">
        <f t="shared" si="9"/>
        <v>0.30000000000000071</v>
      </c>
      <c r="Y86" s="2">
        <v>2650</v>
      </c>
      <c r="Z86" s="2">
        <v>92</v>
      </c>
      <c r="AA86" s="2">
        <v>57</v>
      </c>
      <c r="AB86" s="2">
        <v>259</v>
      </c>
      <c r="AC86" s="2">
        <v>1590</v>
      </c>
      <c r="AD86" s="2">
        <v>4.25</v>
      </c>
      <c r="AE86" s="2">
        <v>79.3</v>
      </c>
      <c r="AF86" s="2">
        <v>7.3999999999999996E-2</v>
      </c>
    </row>
    <row r="87" spans="1:32" x14ac:dyDescent="0.3">
      <c r="A87" s="2">
        <v>86</v>
      </c>
      <c r="B87" s="2" t="s">
        <v>90</v>
      </c>
      <c r="F87" s="2">
        <v>26</v>
      </c>
      <c r="G87" s="2" t="str">
        <f>LOOKUP(F87,{0,0;16,"16-19";20,"20-24";25,"25-29";30,"30-34";35,"35-39";40,"40-44";45,"45-49";50,"50-54";55,"55-59";60,"60-64"})</f>
        <v>25-29</v>
      </c>
      <c r="H87" s="2">
        <v>77</v>
      </c>
      <c r="I87" s="2">
        <v>169</v>
      </c>
      <c r="J87" s="2">
        <v>14.9</v>
      </c>
      <c r="K87" s="2">
        <v>14.6</v>
      </c>
      <c r="L87" s="2">
        <f t="shared" si="5"/>
        <v>0.30000000000000071</v>
      </c>
      <c r="M87" s="2">
        <v>43.2</v>
      </c>
      <c r="N87" s="2">
        <v>42.6</v>
      </c>
      <c r="O87" s="2">
        <f t="shared" si="6"/>
        <v>0.60000000000000142</v>
      </c>
      <c r="P87" s="2">
        <v>220</v>
      </c>
      <c r="Q87" s="2">
        <v>190</v>
      </c>
      <c r="R87" s="2">
        <f t="shared" si="7"/>
        <v>30</v>
      </c>
      <c r="S87" s="2">
        <v>9.9</v>
      </c>
      <c r="T87" s="2">
        <v>10.4</v>
      </c>
      <c r="U87" s="2">
        <f t="shared" si="8"/>
        <v>-0.5</v>
      </c>
      <c r="V87" s="2">
        <v>13.8</v>
      </c>
      <c r="W87" s="2">
        <v>14.1</v>
      </c>
      <c r="X87" s="2">
        <f t="shared" si="9"/>
        <v>-0.29999999999999893</v>
      </c>
      <c r="Y87" s="2">
        <v>3150</v>
      </c>
      <c r="Z87" s="2">
        <v>98</v>
      </c>
      <c r="AA87" s="2">
        <v>64</v>
      </c>
      <c r="AB87" s="2">
        <v>263</v>
      </c>
      <c r="AC87" s="2">
        <v>1575</v>
      </c>
      <c r="AD87" s="2">
        <v>4.05</v>
      </c>
      <c r="AE87" s="2">
        <v>77.8</v>
      </c>
      <c r="AF87" s="2">
        <v>6.3E-2</v>
      </c>
    </row>
    <row r="88" spans="1:32" x14ac:dyDescent="0.3">
      <c r="A88" s="2">
        <v>87</v>
      </c>
      <c r="B88" s="2" t="s">
        <v>90</v>
      </c>
      <c r="F88" s="2">
        <v>31</v>
      </c>
      <c r="G88" s="2" t="str">
        <f>LOOKUP(F88,{0,0;16,"16-19";20,"20-24";25,"25-29";30,"30-34";35,"35-39";40,"40-44";45,"45-49";50,"50-54";55,"55-59";60,"60-64"})</f>
        <v>30-34</v>
      </c>
      <c r="H88" s="2">
        <v>79</v>
      </c>
      <c r="I88" s="2">
        <v>177</v>
      </c>
      <c r="J88" s="2">
        <v>14.6</v>
      </c>
      <c r="K88" s="2">
        <v>14.9</v>
      </c>
      <c r="L88" s="2">
        <f t="shared" si="5"/>
        <v>-0.30000000000000071</v>
      </c>
      <c r="M88" s="2">
        <v>42.5</v>
      </c>
      <c r="N88" s="2">
        <v>42.8</v>
      </c>
      <c r="O88" s="2">
        <f t="shared" si="6"/>
        <v>-0.29999999999999716</v>
      </c>
      <c r="P88" s="2">
        <v>255</v>
      </c>
      <c r="Q88" s="2">
        <v>210</v>
      </c>
      <c r="R88" s="2">
        <f t="shared" si="7"/>
        <v>45</v>
      </c>
      <c r="S88" s="2">
        <v>10</v>
      </c>
      <c r="T88" s="2">
        <v>11.1</v>
      </c>
      <c r="U88" s="2">
        <f t="shared" si="8"/>
        <v>-1.0999999999999996</v>
      </c>
      <c r="V88" s="2">
        <v>13</v>
      </c>
      <c r="W88" s="2">
        <v>14</v>
      </c>
      <c r="X88" s="2">
        <f t="shared" si="9"/>
        <v>-1</v>
      </c>
      <c r="Y88" s="2">
        <v>3100</v>
      </c>
      <c r="Z88" s="2">
        <v>88</v>
      </c>
      <c r="AA88" s="2">
        <v>69</v>
      </c>
      <c r="AB88" s="2">
        <v>267</v>
      </c>
      <c r="AC88" s="2">
        <v>1540</v>
      </c>
      <c r="AD88" s="2">
        <v>3.9</v>
      </c>
      <c r="AE88" s="2">
        <v>76</v>
      </c>
      <c r="AF88" s="2">
        <v>5.6000000000000001E-2</v>
      </c>
    </row>
    <row r="89" spans="1:32" x14ac:dyDescent="0.3">
      <c r="A89" s="2">
        <v>88</v>
      </c>
      <c r="B89" s="2" t="s">
        <v>90</v>
      </c>
      <c r="F89" s="2">
        <v>32</v>
      </c>
      <c r="G89" s="2" t="str">
        <f>LOOKUP(F89,{0,0;16,"16-19";20,"20-24";25,"25-29";30,"30-34";35,"35-39";40,"40-44";45,"45-49";50,"50-54";55,"55-59";60,"60-64"})</f>
        <v>30-34</v>
      </c>
      <c r="H89" s="2">
        <v>79</v>
      </c>
      <c r="I89" s="2">
        <v>174</v>
      </c>
      <c r="J89" s="2">
        <v>14.7</v>
      </c>
      <c r="K89" s="2">
        <v>14.5</v>
      </c>
      <c r="L89" s="2">
        <f t="shared" si="5"/>
        <v>0.19999999999999929</v>
      </c>
      <c r="M89" s="2">
        <v>44.7</v>
      </c>
      <c r="N89" s="2">
        <v>44</v>
      </c>
      <c r="O89" s="2">
        <f t="shared" si="6"/>
        <v>0.70000000000000284</v>
      </c>
      <c r="P89" s="2">
        <v>230</v>
      </c>
      <c r="Q89" s="2">
        <v>210</v>
      </c>
      <c r="R89" s="2">
        <f t="shared" si="7"/>
        <v>20</v>
      </c>
      <c r="S89" s="2">
        <v>9.8000000000000007</v>
      </c>
      <c r="T89" s="2">
        <v>10.6</v>
      </c>
      <c r="U89" s="2">
        <f t="shared" si="8"/>
        <v>-0.79999999999999893</v>
      </c>
      <c r="V89" s="2">
        <v>12.9</v>
      </c>
      <c r="W89" s="2">
        <v>14.2</v>
      </c>
      <c r="X89" s="2">
        <f t="shared" si="9"/>
        <v>-1.2999999999999989</v>
      </c>
      <c r="Y89" s="2">
        <v>3300</v>
      </c>
      <c r="Z89" s="2">
        <v>90</v>
      </c>
      <c r="AA89" s="2">
        <v>72</v>
      </c>
      <c r="AB89" s="2">
        <v>260</v>
      </c>
      <c r="AC89" s="2">
        <v>1450</v>
      </c>
      <c r="AD89" s="2">
        <v>4.3</v>
      </c>
      <c r="AE89" s="2">
        <v>78.7</v>
      </c>
      <c r="AF89" s="2">
        <v>5.8999999999999997E-2</v>
      </c>
    </row>
    <row r="90" spans="1:32" x14ac:dyDescent="0.3">
      <c r="A90" s="2">
        <v>89</v>
      </c>
      <c r="B90" s="2" t="s">
        <v>90</v>
      </c>
      <c r="F90" s="2">
        <v>28</v>
      </c>
      <c r="G90" s="2" t="str">
        <f>LOOKUP(F90,{0,0;16,"16-19";20,"20-24";25,"25-29";30,"30-34";35,"35-39";40,"40-44";45,"45-49";50,"50-54";55,"55-59";60,"60-64"})</f>
        <v>25-29</v>
      </c>
      <c r="H90" s="2">
        <v>82</v>
      </c>
      <c r="I90" s="2">
        <v>182</v>
      </c>
      <c r="J90" s="2">
        <v>15.2</v>
      </c>
      <c r="K90" s="2">
        <v>14.1</v>
      </c>
      <c r="L90" s="2">
        <f t="shared" si="5"/>
        <v>1.0999999999999996</v>
      </c>
      <c r="M90" s="2">
        <v>41</v>
      </c>
      <c r="N90" s="2">
        <v>40.299999999999997</v>
      </c>
      <c r="O90" s="2">
        <f t="shared" si="6"/>
        <v>0.70000000000000284</v>
      </c>
      <c r="P90" s="2">
        <v>280</v>
      </c>
      <c r="Q90" s="2">
        <v>230</v>
      </c>
      <c r="R90" s="2">
        <f t="shared" si="7"/>
        <v>50</v>
      </c>
      <c r="S90" s="2">
        <v>9.8000000000000007</v>
      </c>
      <c r="T90" s="2">
        <v>10.5</v>
      </c>
      <c r="U90" s="2">
        <f t="shared" si="8"/>
        <v>-0.69999999999999929</v>
      </c>
      <c r="V90" s="2">
        <v>13</v>
      </c>
      <c r="W90" s="2">
        <v>13.9</v>
      </c>
      <c r="X90" s="2">
        <f t="shared" si="9"/>
        <v>-0.90000000000000036</v>
      </c>
      <c r="Y90" s="2">
        <v>3250</v>
      </c>
      <c r="Z90" s="2">
        <v>106</v>
      </c>
      <c r="AA90" s="2">
        <v>61</v>
      </c>
      <c r="AB90" s="2">
        <v>275</v>
      </c>
      <c r="AC90" s="2">
        <v>1600</v>
      </c>
      <c r="AD90" s="2">
        <v>4.0999999999999996</v>
      </c>
      <c r="AE90" s="2">
        <v>79.2</v>
      </c>
      <c r="AF90" s="2">
        <v>6.7000000000000004E-2</v>
      </c>
    </row>
    <row r="91" spans="1:32" x14ac:dyDescent="0.3">
      <c r="A91" s="2">
        <v>90</v>
      </c>
      <c r="B91" s="2" t="s">
        <v>90</v>
      </c>
      <c r="F91" s="2">
        <v>30</v>
      </c>
      <c r="G91" s="2" t="str">
        <f>LOOKUP(F91,{0,0;16,"16-19";20,"20-24";25,"25-29";30,"30-34";35,"35-39";40,"40-44";45,"45-49";50,"50-54";55,"55-59";60,"60-64"})</f>
        <v>30-34</v>
      </c>
      <c r="H91" s="2">
        <v>75</v>
      </c>
      <c r="I91" s="2">
        <v>168</v>
      </c>
      <c r="J91" s="2">
        <v>14.6</v>
      </c>
      <c r="K91" s="2">
        <v>14</v>
      </c>
      <c r="L91" s="2">
        <f t="shared" si="5"/>
        <v>0.59999999999999964</v>
      </c>
      <c r="M91" s="2">
        <v>42.1</v>
      </c>
      <c r="N91" s="2">
        <v>41</v>
      </c>
      <c r="O91" s="2">
        <f t="shared" si="6"/>
        <v>1.1000000000000014</v>
      </c>
      <c r="P91" s="2">
        <v>230</v>
      </c>
      <c r="Q91" s="2">
        <v>190</v>
      </c>
      <c r="R91" s="2">
        <f t="shared" si="7"/>
        <v>40</v>
      </c>
      <c r="S91" s="2">
        <v>9.8000000000000007</v>
      </c>
      <c r="T91" s="2">
        <v>10.7</v>
      </c>
      <c r="U91" s="2">
        <f t="shared" si="8"/>
        <v>-0.89999999999999858</v>
      </c>
      <c r="V91" s="2">
        <v>13</v>
      </c>
      <c r="W91" s="2">
        <v>14</v>
      </c>
      <c r="X91" s="2">
        <f t="shared" si="9"/>
        <v>-1</v>
      </c>
      <c r="Y91" s="2">
        <v>2900</v>
      </c>
      <c r="Z91" s="2">
        <v>92</v>
      </c>
      <c r="AA91" s="2">
        <v>62</v>
      </c>
      <c r="AB91" s="2">
        <v>265</v>
      </c>
      <c r="AC91" s="2">
        <v>1500</v>
      </c>
      <c r="AD91" s="2">
        <v>4</v>
      </c>
      <c r="AE91" s="2">
        <v>78</v>
      </c>
      <c r="AF91" s="2">
        <v>6.4000000000000001E-2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AA41-A9C2-4AA4-9285-5C654DFFB94A}">
  <dimension ref="A1:L76"/>
  <sheetViews>
    <sheetView topLeftCell="A46" workbookViewId="0">
      <selection activeCell="G67" sqref="G67"/>
    </sheetView>
  </sheetViews>
  <sheetFormatPr defaultRowHeight="14.4" x14ac:dyDescent="0.3"/>
  <cols>
    <col min="1" max="1" width="2.21875" style="2" bestFit="1" customWidth="1"/>
    <col min="2" max="2" width="40.33203125" customWidth="1"/>
    <col min="3" max="3" width="6" bestFit="1" customWidth="1"/>
    <col min="4" max="4" width="5" bestFit="1" customWidth="1"/>
    <col min="5" max="5" width="12.6640625" bestFit="1" customWidth="1"/>
    <col min="6" max="6" width="12" bestFit="1" customWidth="1"/>
    <col min="7" max="7" width="15.109375" style="2" bestFit="1" customWidth="1"/>
    <col min="10" max="10" width="10.21875" customWidth="1"/>
    <col min="12" max="12" width="12.44140625" customWidth="1"/>
  </cols>
  <sheetData>
    <row r="1" spans="1:12" s="2" customFormat="1" x14ac:dyDescent="0.3">
      <c r="C1" s="2" t="s">
        <v>98</v>
      </c>
      <c r="D1" s="2" t="s">
        <v>99</v>
      </c>
      <c r="E1" s="2" t="s">
        <v>100</v>
      </c>
      <c r="F1" s="2" t="s">
        <v>103</v>
      </c>
      <c r="G1" s="2" t="s">
        <v>104</v>
      </c>
    </row>
    <row r="2" spans="1:12" x14ac:dyDescent="0.3">
      <c r="A2" s="2" t="s">
        <v>97</v>
      </c>
      <c r="B2" s="4" t="s">
        <v>19</v>
      </c>
      <c r="C2">
        <f>MIN(INDEX(exp!$F$2:$AF$101, , ROW(C2)-1))</f>
        <v>19</v>
      </c>
      <c r="D2">
        <f>MAX(INDEX(exp!$F$2:$AF$101, , ROW(C2)-1))</f>
        <v>43</v>
      </c>
      <c r="E2">
        <f>AVERAGE(INDEX(exp!$F$2:$AF$101, , ROW(C2)-1))</f>
        <v>29.244444444444444</v>
      </c>
      <c r="F2">
        <f>_xlfn.STDEV.S(INDEX(exp!$F$2:$AF$101, , ROW(C2)-1))</f>
        <v>5.1370238205437611</v>
      </c>
      <c r="G2" s="2" t="str">
        <f>TEXT(E2,"0.00") &amp; " ± " &amp; TEXT(F2,"0.00")</f>
        <v>29.24 ± 5.14</v>
      </c>
      <c r="K2" t="s">
        <v>106</v>
      </c>
    </row>
    <row r="3" spans="1:12" x14ac:dyDescent="0.3">
      <c r="A3" s="2" t="s">
        <v>101</v>
      </c>
      <c r="B3" s="4" t="s">
        <v>91</v>
      </c>
      <c r="C3" s="2">
        <f>MIN(INDEX(exp!$F$2:$AF$101, , ROW(C3)-1))</f>
        <v>0</v>
      </c>
      <c r="D3" s="2">
        <f>MAX(INDEX(exp!$F$2:$AF$101, , ROW(C3)-1))</f>
        <v>0</v>
      </c>
      <c r="E3" s="2" t="e">
        <f>AVERAGE(INDEX(exp!$F$2:$AF$101, , ROW(C3)-1))</f>
        <v>#DIV/0!</v>
      </c>
      <c r="F3" s="2" t="e">
        <f>_xlfn.STDEV.S(INDEX(exp!$F$2:$AF$101, , ROW(C3)-1))</f>
        <v>#DIV/0!</v>
      </c>
      <c r="G3" s="2" t="e">
        <f>TEXT(E3,"0.00") &amp; " ± " &amp; TEXT(F3,"0.00")</f>
        <v>#DIV/0!</v>
      </c>
    </row>
    <row r="4" spans="1:12" x14ac:dyDescent="0.3">
      <c r="A4" s="2" t="s">
        <v>102</v>
      </c>
      <c r="B4" s="4" t="s">
        <v>20</v>
      </c>
      <c r="C4" s="2">
        <f>MIN(INDEX(exp!$F$2:$AF$101, , ROW(C4)-1))</f>
        <v>60</v>
      </c>
      <c r="D4" s="2">
        <f>MAX(INDEX(exp!$F$2:$AF$101, , ROW(C4)-1))</f>
        <v>101</v>
      </c>
      <c r="E4" s="2">
        <f>AVERAGE(INDEX(exp!$F$2:$AF$101, , ROW(C4)-1))</f>
        <v>75.211111111111109</v>
      </c>
      <c r="F4" s="2">
        <f>_xlfn.STDEV.S(INDEX(exp!$F$2:$AF$101, , ROW(C4)-1))</f>
        <v>7.9329981359961321</v>
      </c>
      <c r="G4" s="2" t="str">
        <f t="shared" ref="G4:G32" si="0">TEXT(E4,"0.00") &amp; " ± " &amp; TEXT(F4,"0.00")</f>
        <v>75.21 ± 7.93</v>
      </c>
      <c r="K4" t="s">
        <v>110</v>
      </c>
      <c r="L4" t="s">
        <v>111</v>
      </c>
    </row>
    <row r="5" spans="1:12" x14ac:dyDescent="0.3">
      <c r="A5" s="2" t="s">
        <v>97</v>
      </c>
      <c r="B5" s="4" t="s">
        <v>21</v>
      </c>
      <c r="C5" s="2">
        <f>MIN(INDEX(exp!$F$2:$AF$101, , ROW(C5)-1))</f>
        <v>160</v>
      </c>
      <c r="D5" s="2">
        <f>MAX(INDEX(exp!$F$2:$AF$101, , ROW(C5)-1))</f>
        <v>182</v>
      </c>
      <c r="E5" s="2">
        <f>AVERAGE(INDEX(exp!$F$2:$AF$101, , ROW(C5)-1))</f>
        <v>173.36666666666667</v>
      </c>
      <c r="F5" s="2">
        <f>_xlfn.STDEV.S(INDEX(exp!$F$2:$AF$101, , ROW(C5)-1))</f>
        <v>4.6215178206182541</v>
      </c>
      <c r="G5" s="2" t="str">
        <f t="shared" si="0"/>
        <v>173.37 ± 4.62</v>
      </c>
      <c r="J5" t="s">
        <v>107</v>
      </c>
      <c r="K5" t="str">
        <f>C2&amp;"-"&amp;D2</f>
        <v>19-43</v>
      </c>
      <c r="L5" t="s">
        <v>114</v>
      </c>
    </row>
    <row r="6" spans="1:12" x14ac:dyDescent="0.3">
      <c r="A6" s="2" t="s">
        <v>101</v>
      </c>
      <c r="B6" s="4" t="s">
        <v>22</v>
      </c>
      <c r="C6" s="2">
        <f>MIN(INDEX(exp!$F$2:$AF$101, , ROW(C6)-1))</f>
        <v>12.7</v>
      </c>
      <c r="D6" s="2">
        <f>MAX(INDEX(exp!$F$2:$AF$101, , ROW(C6)-1))</f>
        <v>16.8</v>
      </c>
      <c r="E6" s="2">
        <f>AVERAGE(INDEX(exp!$F$2:$AF$101, , ROW(C6)-1))</f>
        <v>14.808888888888893</v>
      </c>
      <c r="F6" s="2">
        <f>_xlfn.STDEV.S(INDEX(exp!$F$2:$AF$101, , ROW(C6)-1))</f>
        <v>0.77396461383622805</v>
      </c>
      <c r="G6" s="2" t="str">
        <f t="shared" si="0"/>
        <v>14.81 ± 0.77</v>
      </c>
      <c r="J6" t="s">
        <v>108</v>
      </c>
      <c r="K6" t="s">
        <v>112</v>
      </c>
      <c r="L6" t="s">
        <v>115</v>
      </c>
    </row>
    <row r="7" spans="1:12" x14ac:dyDescent="0.3">
      <c r="A7" s="2" t="s">
        <v>102</v>
      </c>
      <c r="B7" s="4" t="s">
        <v>23</v>
      </c>
      <c r="C7" s="2">
        <f>MIN(INDEX(exp!$F$2:$AF$101, , ROW(C7)-1))</f>
        <v>12</v>
      </c>
      <c r="D7" s="2">
        <f>MAX(INDEX(exp!$F$2:$AF$101, , ROW(C7)-1))</f>
        <v>16.5</v>
      </c>
      <c r="E7" s="2">
        <f>AVERAGE(INDEX(exp!$F$2:$AF$101, , ROW(C7)-1))</f>
        <v>14.339999999999996</v>
      </c>
      <c r="F7" s="2">
        <f>_xlfn.STDEV.S(INDEX(exp!$F$2:$AF$101, , ROW(C7)-1))</f>
        <v>0.78865551927941768</v>
      </c>
      <c r="G7" s="2" t="str">
        <f t="shared" si="0"/>
        <v>14.34 ± 0.79</v>
      </c>
      <c r="J7" t="s">
        <v>109</v>
      </c>
      <c r="K7" t="s">
        <v>113</v>
      </c>
      <c r="L7" t="s">
        <v>116</v>
      </c>
    </row>
    <row r="8" spans="1:12" x14ac:dyDescent="0.3">
      <c r="A8" s="2" t="s">
        <v>97</v>
      </c>
      <c r="B8" s="4" t="s">
        <v>92</v>
      </c>
      <c r="C8" s="2">
        <f>MIN(INDEX(exp!$F$2:$AF$101, , ROW(C8)-1))</f>
        <v>-0.5</v>
      </c>
      <c r="D8" s="2">
        <f>MAX(INDEX(exp!$F$2:$AF$101, , ROW(C8)-1))</f>
        <v>1.0999999999999996</v>
      </c>
      <c r="E8" s="2">
        <f>AVERAGE(INDEX(exp!$F$2:$AF$101, , ROW(C8)-1))</f>
        <v>0.46888888888888891</v>
      </c>
      <c r="F8" s="2">
        <f>_xlfn.STDEV.S(INDEX(exp!$F$2:$AF$101, , ROW(C8)-1))</f>
        <v>0.25992412222292555</v>
      </c>
      <c r="G8" s="2" t="str">
        <f t="shared" si="0"/>
        <v>0.47 ± 0.26</v>
      </c>
    </row>
    <row r="9" spans="1:12" x14ac:dyDescent="0.3">
      <c r="A9" s="2" t="s">
        <v>101</v>
      </c>
      <c r="B9" s="4" t="s">
        <v>24</v>
      </c>
      <c r="C9" s="2">
        <f>MIN(INDEX(exp!$F$2:$AF$101, , ROW(C9)-1))</f>
        <v>38.1</v>
      </c>
      <c r="D9" s="2">
        <f>MAX(INDEX(exp!$F$2:$AF$101, , ROW(C9)-1))</f>
        <v>49.4</v>
      </c>
      <c r="E9" s="2">
        <f>AVERAGE(INDEX(exp!$F$2:$AF$101, , ROW(C9)-1))</f>
        <v>43.633333333333326</v>
      </c>
      <c r="F9" s="2">
        <f>_xlfn.STDEV.S(INDEX(exp!$F$2:$AF$101, , ROW(C9)-1))</f>
        <v>2.6252447718945264</v>
      </c>
      <c r="G9" s="2" t="str">
        <f t="shared" si="0"/>
        <v>43.63 ± 2.63</v>
      </c>
    </row>
    <row r="10" spans="1:12" x14ac:dyDescent="0.3">
      <c r="A10" s="2" t="s">
        <v>102</v>
      </c>
      <c r="B10" s="4" t="s">
        <v>25</v>
      </c>
      <c r="C10" s="2">
        <f>MIN(INDEX(exp!$F$2:$AF$101, , ROW(C10)-1))</f>
        <v>36.4</v>
      </c>
      <c r="D10" s="2">
        <f>MAX(INDEX(exp!$F$2:$AF$101, , ROW(C10)-1))</f>
        <v>47.9</v>
      </c>
      <c r="E10" s="2">
        <f>AVERAGE(INDEX(exp!$F$2:$AF$101, , ROW(C10)-1))</f>
        <v>42.391111111111108</v>
      </c>
      <c r="F10" s="2">
        <f>_xlfn.STDEV.S(INDEX(exp!$F$2:$AF$101, , ROW(C10)-1))</f>
        <v>2.5475542112829932</v>
      </c>
      <c r="G10" s="2" t="str">
        <f t="shared" si="0"/>
        <v>42.39 ± 2.55</v>
      </c>
    </row>
    <row r="11" spans="1:12" x14ac:dyDescent="0.3">
      <c r="A11" s="2" t="s">
        <v>97</v>
      </c>
      <c r="B11" s="4" t="s">
        <v>93</v>
      </c>
      <c r="C11" s="2">
        <f>MIN(INDEX(exp!$F$2:$AF$101, , ROW(C11)-1))</f>
        <v>-1.1000000000000014</v>
      </c>
      <c r="D11" s="2">
        <f>MAX(INDEX(exp!$F$2:$AF$101, , ROW(C11)-1))</f>
        <v>3.6000000000000014</v>
      </c>
      <c r="E11" s="2">
        <f>AVERAGE(INDEX(exp!$F$2:$AF$101, , ROW(C11)-1))</f>
        <v>1.2422222222222221</v>
      </c>
      <c r="F11" s="2">
        <f>_xlfn.STDEV.S(INDEX(exp!$F$2:$AF$101, , ROW(C11)-1))</f>
        <v>0.75654117984680602</v>
      </c>
      <c r="G11" s="2" t="str">
        <f t="shared" si="0"/>
        <v>1.24 ± 0.76</v>
      </c>
    </row>
    <row r="12" spans="1:12" x14ac:dyDescent="0.3">
      <c r="A12" s="2" t="s">
        <v>101</v>
      </c>
      <c r="B12" s="4" t="s">
        <v>26</v>
      </c>
      <c r="C12" s="2">
        <f>MIN(INDEX(exp!$F$2:$AF$101, , ROW(C12)-1))</f>
        <v>174</v>
      </c>
      <c r="D12" s="2">
        <f>MAX(INDEX(exp!$F$2:$AF$101, , ROW(C12)-1))</f>
        <v>469</v>
      </c>
      <c r="E12" s="2">
        <f>AVERAGE(INDEX(exp!$F$2:$AF$101, , ROW(C12)-1))</f>
        <v>274.60000000000002</v>
      </c>
      <c r="F12" s="2">
        <f>_xlfn.STDEV.S(INDEX(exp!$F$2:$AF$101, , ROW(C12)-1))</f>
        <v>54.727681305931384</v>
      </c>
      <c r="G12" s="2" t="str">
        <f t="shared" si="0"/>
        <v>274.60 ± 54.73</v>
      </c>
    </row>
    <row r="13" spans="1:12" x14ac:dyDescent="0.3">
      <c r="A13" s="2" t="s">
        <v>102</v>
      </c>
      <c r="B13" s="4" t="s">
        <v>27</v>
      </c>
      <c r="C13" s="2">
        <f>MIN(INDEX(exp!$F$2:$AF$101, , ROW(C13)-1))</f>
        <v>125</v>
      </c>
      <c r="D13" s="2">
        <f>MAX(INDEX(exp!$F$2:$AF$101, , ROW(C13)-1))</f>
        <v>370</v>
      </c>
      <c r="E13" s="2">
        <f>AVERAGE(INDEX(exp!$F$2:$AF$101, , ROW(C13)-1))</f>
        <v>204.46666666666667</v>
      </c>
      <c r="F13" s="2">
        <f>_xlfn.STDEV.S(INDEX(exp!$F$2:$AF$101, , ROW(C13)-1))</f>
        <v>45.921574572698987</v>
      </c>
      <c r="G13" s="2" t="str">
        <f t="shared" si="0"/>
        <v>204.47 ± 45.92</v>
      </c>
    </row>
    <row r="14" spans="1:12" x14ac:dyDescent="0.3">
      <c r="A14" s="2" t="s">
        <v>97</v>
      </c>
      <c r="B14" s="4" t="s">
        <v>94</v>
      </c>
      <c r="C14" s="2">
        <f>MIN(INDEX(exp!$F$2:$AF$101, , ROW(C14)-1))</f>
        <v>20</v>
      </c>
      <c r="D14" s="2">
        <f>MAX(INDEX(exp!$F$2:$AF$101, , ROW(C14)-1))</f>
        <v>131</v>
      </c>
      <c r="E14" s="2">
        <f>AVERAGE(INDEX(exp!$F$2:$AF$101, , ROW(C14)-1))</f>
        <v>70.13333333333334</v>
      </c>
      <c r="F14" s="2">
        <f>_xlfn.STDEV.S(INDEX(exp!$F$2:$AF$101, , ROW(C14)-1))</f>
        <v>20.35703781899629</v>
      </c>
      <c r="G14" s="2" t="str">
        <f t="shared" si="0"/>
        <v>70.13 ± 20.36</v>
      </c>
    </row>
    <row r="15" spans="1:12" x14ac:dyDescent="0.3">
      <c r="A15" s="2" t="s">
        <v>101</v>
      </c>
      <c r="B15" s="4" t="s">
        <v>28</v>
      </c>
      <c r="C15" s="2">
        <f>MIN(INDEX(exp!$F$2:$AF$101, , ROW(C15)-1))</f>
        <v>7.4</v>
      </c>
      <c r="D15" s="2">
        <f>MAX(INDEX(exp!$F$2:$AF$101, , ROW(C15)-1))</f>
        <v>12.8</v>
      </c>
      <c r="E15" s="2">
        <f>AVERAGE(INDEX(exp!$F$2:$AF$101, , ROW(C15)-1))</f>
        <v>10.126666666666667</v>
      </c>
      <c r="F15" s="2">
        <f>_xlfn.STDEV.S(INDEX(exp!$F$2:$AF$101, , ROW(C15)-1))</f>
        <v>0.95338545207314729</v>
      </c>
      <c r="G15" s="2" t="str">
        <f t="shared" si="0"/>
        <v>10.13 ± 0.95</v>
      </c>
      <c r="L15" s="2"/>
    </row>
    <row r="16" spans="1:12" x14ac:dyDescent="0.3">
      <c r="A16" s="2" t="s">
        <v>102</v>
      </c>
      <c r="B16" s="4" t="s">
        <v>29</v>
      </c>
      <c r="C16" s="2">
        <f>MIN(INDEX(exp!$F$2:$AF$101, , ROW(C16)-1))</f>
        <v>7.7</v>
      </c>
      <c r="D16" s="2">
        <f>MAX(INDEX(exp!$F$2:$AF$101, , ROW(C16)-1))</f>
        <v>12.6</v>
      </c>
      <c r="E16" s="2">
        <f>AVERAGE(INDEX(exp!$F$2:$AF$101, , ROW(C16)-1))</f>
        <v>10.554444444444444</v>
      </c>
      <c r="F16" s="2">
        <f>_xlfn.STDEV.S(INDEX(exp!$F$2:$AF$101, , ROW(C16)-1))</f>
        <v>0.87295972224048368</v>
      </c>
      <c r="G16" s="2" t="str">
        <f t="shared" si="0"/>
        <v>10.55 ± 0.87</v>
      </c>
    </row>
    <row r="17" spans="1:9" x14ac:dyDescent="0.3">
      <c r="A17" s="2" t="s">
        <v>97</v>
      </c>
      <c r="B17" s="4" t="s">
        <v>95</v>
      </c>
      <c r="C17" s="2">
        <f>MIN(INDEX(exp!$F$2:$AF$101, , ROW(C17)-1))</f>
        <v>-1.1000000000000014</v>
      </c>
      <c r="D17" s="2">
        <f>MAX(INDEX(exp!$F$2:$AF$101, , ROW(C17)-1))</f>
        <v>2.1000000000000014</v>
      </c>
      <c r="E17" s="2">
        <f>AVERAGE(INDEX(exp!$F$2:$AF$101, , ROW(C17)-1))</f>
        <v>-0.42777777777777787</v>
      </c>
      <c r="F17" s="2">
        <f>_xlfn.STDEV.S(INDEX(exp!$F$2:$AF$101, , ROW(C17)-1))</f>
        <v>0.41136325230059245</v>
      </c>
      <c r="G17" s="2" t="str">
        <f t="shared" si="0"/>
        <v>-0.43 ± 0.41</v>
      </c>
    </row>
    <row r="18" spans="1:9" x14ac:dyDescent="0.3">
      <c r="A18" s="2" t="s">
        <v>101</v>
      </c>
      <c r="B18" s="4" t="s">
        <v>30</v>
      </c>
      <c r="C18" s="2">
        <f>MIN(INDEX(exp!$F$2:$AF$101, , ROW(C18)-1))</f>
        <v>7.9</v>
      </c>
      <c r="D18" s="2">
        <f>MAX(INDEX(exp!$F$2:$AF$101, , ROW(C18)-1))</f>
        <v>19.3</v>
      </c>
      <c r="E18" s="2">
        <f>AVERAGE(INDEX(exp!$F$2:$AF$101, , ROW(C18)-1))</f>
        <v>12.453333333333338</v>
      </c>
      <c r="F18" s="2">
        <f>_xlfn.STDEV.S(INDEX(exp!$F$2:$AF$101, , ROW(C18)-1))</f>
        <v>1.9449849079452213</v>
      </c>
      <c r="G18" s="2" t="str">
        <f t="shared" si="0"/>
        <v>12.45 ± 1.94</v>
      </c>
    </row>
    <row r="19" spans="1:9" x14ac:dyDescent="0.3">
      <c r="A19" s="2" t="s">
        <v>102</v>
      </c>
      <c r="B19" s="4" t="s">
        <v>31</v>
      </c>
      <c r="C19" s="2">
        <f>MIN(INDEX(exp!$F$2:$AF$101, , ROW(C19)-1))</f>
        <v>8.1</v>
      </c>
      <c r="D19" s="2">
        <f>MAX(INDEX(exp!$F$2:$AF$101, , ROW(C19)-1))</f>
        <v>18.5</v>
      </c>
      <c r="E19" s="2">
        <f>AVERAGE(INDEX(exp!$F$2:$AF$101, , ROW(C19)-1))</f>
        <v>13.218888888888891</v>
      </c>
      <c r="F19" s="2">
        <f>_xlfn.STDEV.S(INDEX(exp!$F$2:$AF$101, , ROW(C19)-1))</f>
        <v>1.9746650658648459</v>
      </c>
      <c r="G19" s="2" t="str">
        <f t="shared" si="0"/>
        <v>13.22 ± 1.97</v>
      </c>
    </row>
    <row r="20" spans="1:9" x14ac:dyDescent="0.3">
      <c r="A20" s="2" t="s">
        <v>97</v>
      </c>
      <c r="B20" s="4" t="s">
        <v>96</v>
      </c>
      <c r="C20" s="2">
        <f>MIN(INDEX(exp!$F$2:$AF$101, , ROW(C20)-1))</f>
        <v>-3</v>
      </c>
      <c r="D20" s="2">
        <f>MAX(INDEX(exp!$F$2:$AF$101, , ROW(C20)-1))</f>
        <v>2.6000000000000014</v>
      </c>
      <c r="E20" s="2">
        <f>AVERAGE(INDEX(exp!$F$2:$AF$101, , ROW(C20)-1))</f>
        <v>-0.76555555555555577</v>
      </c>
      <c r="F20" s="2">
        <f>_xlfn.STDEV.S(INDEX(exp!$F$2:$AF$101, , ROW(C20)-1))</f>
        <v>0.76145353478918609</v>
      </c>
      <c r="G20" s="2" t="str">
        <f t="shared" si="0"/>
        <v>-0.77 ± 0.76</v>
      </c>
    </row>
    <row r="21" spans="1:9" x14ac:dyDescent="0.3">
      <c r="A21" s="2" t="s">
        <v>101</v>
      </c>
      <c r="B21" s="4" t="s">
        <v>32</v>
      </c>
      <c r="C21" s="2">
        <f>MIN(INDEX(exp!$F$2:$AF$101, , ROW(C21)-1))</f>
        <v>1625</v>
      </c>
      <c r="D21" s="2">
        <f>MAX(INDEX(exp!$F$2:$AF$101, , ROW(C21)-1))</f>
        <v>3598</v>
      </c>
      <c r="E21" s="2">
        <f>AVERAGE(INDEX(exp!$F$2:$AF$101, , ROW(C21)-1))</f>
        <v>2735.2444444444445</v>
      </c>
      <c r="F21" s="2">
        <f>_xlfn.STDEV.S(INDEX(exp!$F$2:$AF$101, , ROW(C21)-1))</f>
        <v>445.3728979486915</v>
      </c>
      <c r="G21" s="2" t="str">
        <f t="shared" si="0"/>
        <v>2735.24 ± 445.37</v>
      </c>
    </row>
    <row r="22" spans="1:9" x14ac:dyDescent="0.3">
      <c r="A22" s="2" t="s">
        <v>102</v>
      </c>
      <c r="B22" s="4" t="s">
        <v>33</v>
      </c>
      <c r="C22" s="2">
        <f>MIN(INDEX(exp!$F$2:$AF$101, , ROW(C22)-1))</f>
        <v>54</v>
      </c>
      <c r="D22" s="2">
        <f>MAX(INDEX(exp!$F$2:$AF$101, , ROW(C22)-1))</f>
        <v>129</v>
      </c>
      <c r="E22" s="2">
        <f>AVERAGE(INDEX(exp!$F$2:$AF$101, , ROW(C22)-1))</f>
        <v>91.288888888888891</v>
      </c>
      <c r="F22" s="2">
        <f>_xlfn.STDEV.S(INDEX(exp!$F$2:$AF$101, , ROW(C22)-1))</f>
        <v>16.941568082342283</v>
      </c>
      <c r="G22" s="2" t="str">
        <f t="shared" si="0"/>
        <v>91.29 ± 16.94</v>
      </c>
    </row>
    <row r="23" spans="1:9" x14ac:dyDescent="0.3">
      <c r="A23" s="2" t="s">
        <v>97</v>
      </c>
      <c r="B23" s="4" t="s">
        <v>34</v>
      </c>
      <c r="C23" s="2">
        <f>MIN(INDEX(exp!$F$2:$AF$101, , ROW(C23)-1))</f>
        <v>33</v>
      </c>
      <c r="D23" s="2">
        <f>MAX(INDEX(exp!$F$2:$AF$101, , ROW(C23)-1))</f>
        <v>90</v>
      </c>
      <c r="E23" s="2">
        <f>AVERAGE(INDEX(exp!$F$2:$AF$101, , ROW(C23)-1))</f>
        <v>60.4</v>
      </c>
      <c r="F23" s="2">
        <f>_xlfn.STDEV.S(INDEX(exp!$F$2:$AF$101, , ROW(C23)-1))</f>
        <v>13.684896948621198</v>
      </c>
      <c r="G23" s="2" t="str">
        <f t="shared" si="0"/>
        <v>60.40 ± 13.68</v>
      </c>
    </row>
    <row r="24" spans="1:9" x14ac:dyDescent="0.3">
      <c r="A24" s="2" t="s">
        <v>101</v>
      </c>
      <c r="B24" s="4" t="s">
        <v>35</v>
      </c>
      <c r="C24" s="2">
        <f>MIN(INDEX(exp!$F$2:$AF$101, , ROW(C24)-1))</f>
        <v>230</v>
      </c>
      <c r="D24" s="2">
        <f>MAX(INDEX(exp!$F$2:$AF$101, , ROW(C24)-1))</f>
        <v>350</v>
      </c>
      <c r="E24" s="2">
        <f>AVERAGE(INDEX(exp!$F$2:$AF$101, , ROW(C24)-1))</f>
        <v>280.33333333333331</v>
      </c>
      <c r="F24" s="2">
        <f>_xlfn.STDEV.S(INDEX(exp!$F$2:$AF$101, , ROW(C24)-1))</f>
        <v>41.530549200003755</v>
      </c>
      <c r="G24" s="2" t="str">
        <f t="shared" si="0"/>
        <v>280.33 ± 41.53</v>
      </c>
    </row>
    <row r="25" spans="1:9" x14ac:dyDescent="0.3">
      <c r="A25" s="2" t="s">
        <v>102</v>
      </c>
      <c r="B25" s="4" t="s">
        <v>36</v>
      </c>
      <c r="C25" s="2">
        <f>MIN(INDEX(exp!$F$2:$AF$101, , ROW(C25)-1))</f>
        <v>739</v>
      </c>
      <c r="D25" s="2">
        <f>MAX(INDEX(exp!$F$2:$AF$101, , ROW(C25)-1))</f>
        <v>2200</v>
      </c>
      <c r="E25" s="2">
        <f>AVERAGE(INDEX(exp!$F$2:$AF$101, , ROW(C25)-1))</f>
        <v>1360.3333333333333</v>
      </c>
      <c r="F25" s="2">
        <f>_xlfn.STDEV.S(INDEX(exp!$F$2:$AF$101, , ROW(C25)-1))</f>
        <v>303.62247403901614</v>
      </c>
      <c r="G25" s="2" t="str">
        <f t="shared" si="0"/>
        <v>1360.33 ± 303.62</v>
      </c>
    </row>
    <row r="26" spans="1:9" x14ac:dyDescent="0.3">
      <c r="A26" s="2" t="s">
        <v>97</v>
      </c>
      <c r="B26" s="4" t="s">
        <v>37</v>
      </c>
      <c r="C26" s="2">
        <f>MIN(INDEX(exp!$F$2:$AF$101, , ROW(C26)-1))</f>
        <v>1.92</v>
      </c>
      <c r="D26" s="2">
        <f>MAX(INDEX(exp!$F$2:$AF$101, , ROW(C26)-1))</f>
        <v>5.19</v>
      </c>
      <c r="E26" s="2">
        <f>AVERAGE(INDEX(exp!$F$2:$AF$101, , ROW(C26)-1))</f>
        <v>3.7546666666666662</v>
      </c>
      <c r="F26" s="2">
        <f>_xlfn.STDEV.S(INDEX(exp!$F$2:$AF$101, , ROW(C26)-1))</f>
        <v>0.68208075570520232</v>
      </c>
      <c r="G26" s="2" t="str">
        <f t="shared" si="0"/>
        <v>3.75 ± 0.68</v>
      </c>
    </row>
    <row r="27" spans="1:9" x14ac:dyDescent="0.3">
      <c r="A27" s="2" t="s">
        <v>101</v>
      </c>
      <c r="B27" s="4" t="s">
        <v>38</v>
      </c>
      <c r="C27" s="2">
        <f>MIN(INDEX(exp!$F$2:$AF$101, , ROW(C27)-1))</f>
        <v>32.43</v>
      </c>
      <c r="D27" s="2">
        <f>MAX(INDEX(exp!$F$2:$AF$101, , ROW(C27)-1))</f>
        <v>100</v>
      </c>
      <c r="E27" s="2">
        <f>AVERAGE(INDEX(exp!$F$2:$AF$101, , ROW(C27)-1))</f>
        <v>65.283555555555566</v>
      </c>
      <c r="F27" s="2">
        <f>_xlfn.STDEV.S(INDEX(exp!$F$2:$AF$101, , ROW(C27)-1))</f>
        <v>17.509880633523746</v>
      </c>
      <c r="G27" s="2" t="str">
        <f t="shared" si="0"/>
        <v>65.28 ± 17.51</v>
      </c>
    </row>
    <row r="28" spans="1:9" x14ac:dyDescent="0.3">
      <c r="A28" s="2" t="s">
        <v>102</v>
      </c>
      <c r="B28" s="4" t="s">
        <v>39</v>
      </c>
      <c r="C28" s="2">
        <f>MIN(INDEX(exp!$F$2:$AF$101, , ROW(C28)-1))</f>
        <v>2.9000000000000001E-2</v>
      </c>
      <c r="D28" s="2">
        <f>MAX(INDEX(exp!$F$2:$AF$101, , ROW(C28)-1))</f>
        <v>0.47</v>
      </c>
      <c r="E28" s="2">
        <f>AVERAGE(INDEX(exp!$F$2:$AF$101, , ROW(C28)-1))</f>
        <v>6.9077777777777766E-2</v>
      </c>
      <c r="F28" s="2">
        <f>_xlfn.STDEV.S(INDEX(exp!$F$2:$AF$101, , ROW(C28)-1))</f>
        <v>4.7233873718623982E-2</v>
      </c>
      <c r="G28" s="2" t="str">
        <f t="shared" si="0"/>
        <v>0.07 ± 0.05</v>
      </c>
    </row>
    <row r="29" spans="1:9" x14ac:dyDescent="0.3">
      <c r="G29" s="2" t="str">
        <f t="shared" si="0"/>
        <v>0.00 ± 0.00</v>
      </c>
    </row>
    <row r="30" spans="1:9" x14ac:dyDescent="0.3">
      <c r="B30" s="4" t="s">
        <v>43</v>
      </c>
      <c r="E30">
        <f>AVERAGEIF(exp!$B$2:$B$91, B30, exp!$F$2:$F$91)</f>
        <v>30.2</v>
      </c>
      <c r="F30">
        <f t="array" ref="F30">_xlfn.STDEV.S(IF(exp!$B$2:$B$91=B30, exp!$F$2:$F$91))</f>
        <v>5.8627991431656117</v>
      </c>
      <c r="G30" s="2" t="str">
        <f>TEXT(E30,"0.00") &amp; " ± " &amp; TEXT(F30,"0.00")</f>
        <v>30.20 ± 5.86</v>
      </c>
    </row>
    <row r="31" spans="1:9" x14ac:dyDescent="0.3">
      <c r="B31" s="4" t="s">
        <v>81</v>
      </c>
      <c r="E31" s="2">
        <f>AVERAGEIF(exp!$B$2:$B$91, B31, exp!$F$2:$F$91)</f>
        <v>28</v>
      </c>
      <c r="F31" s="5">
        <f t="array" ref="F31">_xlfn.STDEV.S(IF(exp!$B$2:$B$91=B31, exp!$F$2:$F$91))</f>
        <v>5.2127165463991467</v>
      </c>
      <c r="G31" s="2" t="str">
        <f>TEXT(E31,"0.00") &amp; " ± " &amp; TEXT(F31,"0.00")</f>
        <v>28.00 ± 5.21</v>
      </c>
      <c r="I31" t="s">
        <v>134</v>
      </c>
    </row>
    <row r="32" spans="1:9" x14ac:dyDescent="0.3">
      <c r="B32" s="4" t="s">
        <v>90</v>
      </c>
      <c r="E32" s="2">
        <f>AVERAGEIF(exp!$B$2:$B$91, B32, exp!$F$2:$F$91)</f>
        <v>29.533333333333335</v>
      </c>
      <c r="F32" s="2">
        <f t="array" ref="F32">_xlfn.STDEV.S(IF(exp!$B$2:$B$91=B32, exp!$F$2:$F$91))</f>
        <v>4.0999018771549727</v>
      </c>
      <c r="G32" s="2" t="str">
        <f t="shared" si="0"/>
        <v>29.53 ± 4.10</v>
      </c>
    </row>
    <row r="34" spans="2:9" x14ac:dyDescent="0.3">
      <c r="F34" t="s">
        <v>105</v>
      </c>
    </row>
    <row r="36" spans="2:9" x14ac:dyDescent="0.3">
      <c r="B36" s="9" t="s">
        <v>43</v>
      </c>
      <c r="E36">
        <f>AVERAGEIF(All!B2:B91,"Amicus",All!E2:E91)</f>
        <v>76.966666666666669</v>
      </c>
      <c r="F36">
        <f t="array" ref="F36">_xlfn.STDEV.S(IF(All!B2:B91="Amicus",All!E2:E91))</f>
        <v>9.3752547858098687</v>
      </c>
      <c r="G36" s="2" t="str">
        <f>TEXT(E36,"0.00") &amp; " ± " &amp; TEXT(F36,"0.00")</f>
        <v>76.97 ± 9.38</v>
      </c>
    </row>
    <row r="37" spans="2:9" x14ac:dyDescent="0.3">
      <c r="B37" s="9" t="s">
        <v>81</v>
      </c>
      <c r="E37" s="2">
        <f>AVERAGEIF(All!B3:B92,"Comtec",All!E3:E92)</f>
        <v>74.266666666666666</v>
      </c>
      <c r="F37" s="2">
        <f t="array" ref="F37">_xlfn.STDEV.S(IF(All!B2:B91="Comtec",All!E2:E91))</f>
        <v>7.6425908828288671</v>
      </c>
      <c r="G37" s="2" t="str">
        <f>TEXT(E37,"0.00") &amp; " ± " &amp; TEXT(F37,"0.00")</f>
        <v>74.27 ± 7.64</v>
      </c>
      <c r="I37" t="s">
        <v>135</v>
      </c>
    </row>
    <row r="38" spans="2:9" x14ac:dyDescent="0.3">
      <c r="B38" s="9" t="s">
        <v>90</v>
      </c>
      <c r="E38" s="2">
        <f>AVERAGEIF(All!B4:B93,"Optia",All!E4:E93)</f>
        <v>74.400000000000006</v>
      </c>
      <c r="F38" s="2">
        <f t="array" ref="F38">_xlfn.STDEV.S(IF(All!B2:B91="Optia",All!E2:E91))</f>
        <v>6.4839323955717498</v>
      </c>
      <c r="G38" s="2" t="str">
        <f>TEXT(E38,"0.00") &amp; " ± " &amp; TEXT(F38,"0.00")</f>
        <v>74.40 ± 6.48</v>
      </c>
    </row>
    <row r="41" spans="2:9" x14ac:dyDescent="0.3">
      <c r="B41" s="9" t="s">
        <v>43</v>
      </c>
      <c r="E41">
        <f>AVERAGEIF(All!B2:B91,"Amicus",All!F2:F91)</f>
        <v>173.76666666666668</v>
      </c>
      <c r="F41">
        <f t="array" ref="F41">_xlfn.STDEV.S(IF(All!B2:B91="Amicus",All!F2:F91))</f>
        <v>4.1909864967680273</v>
      </c>
      <c r="G41" s="2" t="str">
        <f>TEXT(E41,"0.00") &amp; " ± " &amp; TEXT(F41,"0.00")</f>
        <v>173.77 ± 4.19</v>
      </c>
    </row>
    <row r="42" spans="2:9" x14ac:dyDescent="0.3">
      <c r="B42" s="9" t="s">
        <v>81</v>
      </c>
      <c r="E42">
        <f>AVERAGEIF(All!B2:B91,"Comtec",All!F2:F91)</f>
        <v>174.6</v>
      </c>
      <c r="F42">
        <f t="array" ref="F42">_xlfn.STDEV.S(IF(All!B2:B91="Comtec",All!F2:F91))</f>
        <v>4.4844559121019598</v>
      </c>
      <c r="G42" s="2" t="str">
        <f t="shared" ref="G42:G43" si="1">TEXT(E42,"0.00") &amp; " ± " &amp; TEXT(F42,"0.00")</f>
        <v>174.60 ± 4.48</v>
      </c>
      <c r="I42" t="s">
        <v>136</v>
      </c>
    </row>
    <row r="43" spans="2:9" x14ac:dyDescent="0.3">
      <c r="B43" s="9" t="s">
        <v>90</v>
      </c>
      <c r="E43">
        <f>AVERAGEIF(All!B2:B91,"Optia",All!F2:F91)</f>
        <v>171.73333333333332</v>
      </c>
      <c r="F43">
        <f t="array" ref="F43">_xlfn.STDEV.S(IF(All!B2:B91="Optia",All!F2:F91))</f>
        <v>4.8347401836787629</v>
      </c>
      <c r="G43" s="2" t="str">
        <f t="shared" si="1"/>
        <v>171.73 ± 4.83</v>
      </c>
    </row>
    <row r="46" spans="2:9" x14ac:dyDescent="0.3">
      <c r="B46" s="9" t="s">
        <v>137</v>
      </c>
      <c r="E46" s="10">
        <f>AVERAGE(All!J2:J91)</f>
        <v>3.1659500337996556</v>
      </c>
      <c r="F46">
        <f>_xlfn.STDEV.S(All!J2:J91)</f>
        <v>1.7751830305179688</v>
      </c>
      <c r="G46" s="2" t="str">
        <f>TEXT(E46,"0.00") &amp; " ± " &amp; TEXT(F46,"0.00")</f>
        <v>3.17 ± 1.78</v>
      </c>
    </row>
    <row r="47" spans="2:9" x14ac:dyDescent="0.3">
      <c r="B47" s="9" t="s">
        <v>138</v>
      </c>
      <c r="E47" s="10">
        <f>AVERAGE(All!N2:N91)</f>
        <v>2.8331731676876637</v>
      </c>
      <c r="F47">
        <f>_xlfn.STDEV.S(All!N2:N91)</f>
        <v>1.7095860857086773</v>
      </c>
      <c r="G47" s="2" t="str">
        <f t="shared" ref="G47:G48" si="2">TEXT(E47,"0.00") &amp; " ± " &amp; TEXT(F47,"0.00")</f>
        <v>2.83 ± 1.71</v>
      </c>
    </row>
    <row r="48" spans="2:9" x14ac:dyDescent="0.3">
      <c r="B48" s="9" t="s">
        <v>139</v>
      </c>
      <c r="E48">
        <f>AVERAGE(All!R2:R91)</f>
        <v>25.661075077389626</v>
      </c>
      <c r="F48">
        <f>_xlfn.STDEV.S(All!R2:R91)</f>
        <v>6.2264209884046462</v>
      </c>
      <c r="G48" s="2" t="str">
        <f t="shared" si="2"/>
        <v>25.66 ± 6.23</v>
      </c>
    </row>
    <row r="51" spans="2:9" x14ac:dyDescent="0.3">
      <c r="B51" s="9" t="s">
        <v>43</v>
      </c>
      <c r="E51">
        <f>AVERAGEIF(All!B2:B91,"Amicus",All!Y2:Y91)</f>
        <v>2535.8666666666668</v>
      </c>
      <c r="F51">
        <f t="array" ref="F51">_xlfn.STDEV.S(IF(All!B2:B91="Amicus",All!Y2:Y91))</f>
        <v>373.42198865251021</v>
      </c>
      <c r="G51" s="2" t="str">
        <f>TEXT(E51,"0.00") &amp; " ± " &amp; TEXT(F51,"0.00")</f>
        <v>2535.87 ± 373.42</v>
      </c>
    </row>
    <row r="52" spans="2:9" x14ac:dyDescent="0.3">
      <c r="B52" s="9" t="s">
        <v>81</v>
      </c>
      <c r="E52">
        <f>AVERAGEIF(All!B2:B91,"Comtec",All!Y2:Y91)</f>
        <v>2961.7</v>
      </c>
      <c r="F52">
        <f t="array" ref="F52">_xlfn.STDEV.S(IF(All!B2:B91="Comtec",All!Y2:Y91))</f>
        <v>349.13816551716326</v>
      </c>
      <c r="G52" s="2" t="str">
        <f t="shared" ref="G52:G53" si="3">TEXT(E52,"0.00") &amp; " ± " &amp; TEXT(F52,"0.00")</f>
        <v>2961.70 ± 349.14</v>
      </c>
      <c r="I52" t="s">
        <v>146</v>
      </c>
    </row>
    <row r="53" spans="2:9" x14ac:dyDescent="0.3">
      <c r="B53" s="9" t="s">
        <v>90</v>
      </c>
      <c r="E53">
        <f>AVERAGEIF(All!B2:B91,"Optia",All!Y2:Y91)</f>
        <v>2708.1666666666665</v>
      </c>
      <c r="F53">
        <f t="array" ref="F53">_xlfn.STDEV.S(IF(All!B2:B91="Optia",All!Y2:Y91))</f>
        <v>502.47210135855084</v>
      </c>
      <c r="G53" s="2" t="str">
        <f t="shared" si="3"/>
        <v>2708.17 ± 502.47</v>
      </c>
    </row>
    <row r="57" spans="2:9" x14ac:dyDescent="0.3">
      <c r="B57" s="9" t="s">
        <v>43</v>
      </c>
      <c r="C57" s="2"/>
      <c r="D57" s="2"/>
      <c r="E57" s="2">
        <f>AVERAGEIF(All!B2:B91,"Amicus",All!AB2:AB91)</f>
        <v>238.83333333333334</v>
      </c>
      <c r="F57" s="2">
        <f t="array" ref="F57">_xlfn.STDEV.S(IF(All!B2:B91="Amicus",All!AB2:AB91))</f>
        <v>3.3639399450678344</v>
      </c>
      <c r="G57" s="2" t="str">
        <f>TEXT(E57,"0.00") &amp; " ± " &amp; TEXT(F57,"0.00")</f>
        <v>238.83 ± 3.36</v>
      </c>
    </row>
    <row r="58" spans="2:9" x14ac:dyDescent="0.3">
      <c r="B58" s="9" t="s">
        <v>81</v>
      </c>
      <c r="C58" s="2"/>
      <c r="D58" s="2"/>
      <c r="E58" s="2">
        <f>AVERAGEIF(All!B2:B91,"Comtec",All!AB2:AB91)</f>
        <v>335.66666666666669</v>
      </c>
      <c r="F58" s="2">
        <f t="array" ref="F58">_xlfn.STDEV.S(IF(All!B2:B91="Comtec",All!AB2:AB91))</f>
        <v>9.2263989064861729</v>
      </c>
      <c r="G58" s="2" t="str">
        <f t="shared" ref="G58:G59" si="4">TEXT(E58,"0.00") &amp; " ± " &amp; TEXT(F58,"0.00")</f>
        <v>335.67 ± 9.23</v>
      </c>
      <c r="I58" t="s">
        <v>147</v>
      </c>
    </row>
    <row r="59" spans="2:9" x14ac:dyDescent="0.3">
      <c r="B59" s="9" t="s">
        <v>90</v>
      </c>
      <c r="C59" s="2"/>
      <c r="D59" s="2"/>
      <c r="E59" s="2">
        <f>AVERAGEIF(All!B2:B91,"Optia",All!AB2:AB91)</f>
        <v>266.5</v>
      </c>
      <c r="F59" s="2">
        <f t="array" ref="F59">_xlfn.STDEV.S(IF(All!B2:B91="Optia",All!AB2:AB91))</f>
        <v>7.0649694340066524</v>
      </c>
      <c r="G59" s="2" t="str">
        <f t="shared" si="4"/>
        <v>266.50 ± 7.06</v>
      </c>
    </row>
    <row r="62" spans="2:9" x14ac:dyDescent="0.3">
      <c r="B62" s="9" t="s">
        <v>43</v>
      </c>
      <c r="E62">
        <f>AVERAGEIF(All!B2:B91,"Amicus",All!AA2:AA91)</f>
        <v>49.56666666666667</v>
      </c>
      <c r="F62" s="2">
        <f t="array" ref="F62">_xlfn.STDEV.S(IF(All!B2:B91="Amicus",All!AA2:AA91))</f>
        <v>9.5328229105380018</v>
      </c>
      <c r="G62" s="2" t="str">
        <f>TEXT(E62,"0.00") &amp; " ± " &amp; TEXT(F62,"0.00")</f>
        <v>49.57 ± 9.53</v>
      </c>
    </row>
    <row r="63" spans="2:9" x14ac:dyDescent="0.3">
      <c r="B63" s="9" t="s">
        <v>81</v>
      </c>
      <c r="E63">
        <f>AVERAGEIF(All!B2:B91,"Comtec",All!AA2:AA91)</f>
        <v>73.066666666666663</v>
      </c>
      <c r="F63" s="2">
        <f t="array" ref="F63">_xlfn.STDEV.S(IF(All!B2:B91="Comtec",All!AA2:AA91))</f>
        <v>8.6220780491165545</v>
      </c>
      <c r="G63" s="2" t="str">
        <f t="shared" ref="G63:G64" si="5">TEXT(E63,"0.00") &amp; " ± " &amp; TEXT(F63,"0.00")</f>
        <v>73.07 ± 8.62</v>
      </c>
      <c r="I63" t="s">
        <v>148</v>
      </c>
    </row>
    <row r="64" spans="2:9" x14ac:dyDescent="0.3">
      <c r="B64" s="9" t="s">
        <v>90</v>
      </c>
      <c r="E64">
        <f>AVERAGEIF(All!B2:B91,"Optia",All!AA2:AA91)</f>
        <v>58.56666666666667</v>
      </c>
      <c r="F64" s="2">
        <f t="array" ref="F64">_xlfn.STDEV.S(IF(All!B2:B91="Optia",All!AA2:AA91))</f>
        <v>10.89347584988162</v>
      </c>
      <c r="G64" s="2" t="str">
        <f t="shared" si="5"/>
        <v>58.57 ± 10.89</v>
      </c>
    </row>
    <row r="67" spans="2:9" x14ac:dyDescent="0.3">
      <c r="B67" s="9" t="s">
        <v>43</v>
      </c>
      <c r="E67">
        <f>AVERAGEIF(All!B2:B91,"Amicus",All!AC2:AC91)</f>
        <v>1405.3333333333333</v>
      </c>
      <c r="F67">
        <f t="array" ref="F67">_xlfn.STDEV.S(IF(All!B2:B91="Amicus",All!AC2:AC91))</f>
        <v>415.4880249183779</v>
      </c>
      <c r="G67" s="2" t="str">
        <f t="array" ref="G67">TEXT(E67,"0.00") &amp; " ± " &amp; TEXT(F67,"0.00")</f>
        <v>1405.33 ± 415.49</v>
      </c>
    </row>
    <row r="68" spans="2:9" x14ac:dyDescent="0.3">
      <c r="B68" s="9" t="s">
        <v>81</v>
      </c>
      <c r="E68">
        <f>AVERAGEIF(All!B2:B91,"Comtec",All!AC2:AC91)</f>
        <v>1133.6333333333334</v>
      </c>
      <c r="F68">
        <f t="array" ref="F68">_xlfn.STDEV.S(IF(All!B2:B91="Comtec",All!AC2:AC91))</f>
        <v>99.603518610239007</v>
      </c>
      <c r="G68" s="2" t="str">
        <f t="shared" ref="G68:G69" si="6">TEXT(E68,"0.00") &amp; " ± " &amp; TEXT(F68,"0.00")</f>
        <v>1133.63 ± 99.60</v>
      </c>
      <c r="I68" t="s">
        <v>149</v>
      </c>
    </row>
    <row r="69" spans="2:9" x14ac:dyDescent="0.3">
      <c r="B69" s="9" t="s">
        <v>90</v>
      </c>
      <c r="E69">
        <f>AVERAGEIF(All!B2:B91,"Optia",All!AC2:AC91)</f>
        <v>1542.0333333333333</v>
      </c>
      <c r="F69">
        <f t="array" ref="F69">_xlfn.STDEV.S(IF(All!B2:B91="Optia",All!AC2:AC91))</f>
        <v>104.65723473133234</v>
      </c>
      <c r="G69" s="2" t="str">
        <f t="shared" si="6"/>
        <v>1542.03 ± 104.66</v>
      </c>
    </row>
    <row r="74" spans="2:9" x14ac:dyDescent="0.3">
      <c r="B74" s="9" t="s">
        <v>43</v>
      </c>
      <c r="E74">
        <f>AVERAGEIF(All!B2:B91,"Amicus",All!AD2:AD91)</f>
        <v>3.3563333333333332</v>
      </c>
      <c r="F74">
        <f t="array" ref="F74">_xlfn.STDEV.S(IF(All!B2:B91="Amicus",All!AD2:AD91))</f>
        <v>0.96411647362372133</v>
      </c>
      <c r="G74" s="2" t="str">
        <f>TEXT(E74,"0.00") &amp; " ± " &amp; TEXT(F74,"0.00")</f>
        <v>3.36 ± 0.96</v>
      </c>
    </row>
    <row r="75" spans="2:9" x14ac:dyDescent="0.3">
      <c r="B75" s="9" t="s">
        <v>81</v>
      </c>
      <c r="E75">
        <f>AVERAGEIF(All!B2:B91,"Comtec",All!AD2:AD91)</f>
        <v>3.8183333333333338</v>
      </c>
      <c r="F75">
        <f t="array" ref="F75">_xlfn.STDEV.S(IF(All!B2:B91="Comtec",All!AD2:AD91))</f>
        <v>0.37356699379170893</v>
      </c>
      <c r="G75" s="2" t="str">
        <f t="shared" ref="G75:G76" si="7">TEXT(E75,"0.00") &amp; " ± " &amp; TEXT(F75,"0.00")</f>
        <v>3.82 ± 0.37</v>
      </c>
      <c r="I75" t="s">
        <v>161</v>
      </c>
    </row>
    <row r="76" spans="2:9" x14ac:dyDescent="0.3">
      <c r="B76" s="9" t="s">
        <v>90</v>
      </c>
      <c r="E76">
        <f>AVERAGEIF(All!B2:B91,"Optia",All!AD2:AD91)</f>
        <v>4.0893333333333333</v>
      </c>
      <c r="F76">
        <f t="array" ref="F76">_xlfn.STDEV.S(IF(All!B2:B91="Optia",All!AD2:AD91))</f>
        <v>0.27297762107761769</v>
      </c>
      <c r="G76" s="2" t="str">
        <f t="shared" si="7"/>
        <v>4.09 ± 0.27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2D70-A751-4FEC-9CE0-2E7DC57F804E}">
  <dimension ref="A1:AA111"/>
  <sheetViews>
    <sheetView topLeftCell="A57" workbookViewId="0">
      <selection activeCell="A64" sqref="A64:D68"/>
    </sheetView>
  </sheetViews>
  <sheetFormatPr defaultRowHeight="14.4" x14ac:dyDescent="0.3"/>
  <cols>
    <col min="1" max="1" width="23.6640625" customWidth="1"/>
    <col min="2" max="2" width="24" customWidth="1"/>
    <col min="3" max="3" width="17.44140625" customWidth="1"/>
    <col min="4" max="4" width="19.33203125" customWidth="1"/>
    <col min="5" max="5" width="13.44140625" customWidth="1"/>
    <col min="16" max="16" width="10.88671875" customWidth="1"/>
    <col min="18" max="18" width="12.21875" customWidth="1"/>
  </cols>
  <sheetData>
    <row r="1" spans="1:18" x14ac:dyDescent="0.3">
      <c r="A1" s="9" t="s">
        <v>106</v>
      </c>
    </row>
    <row r="2" spans="1:18" x14ac:dyDescent="0.3">
      <c r="P2" s="2"/>
      <c r="Q2" s="9"/>
      <c r="R2" s="2"/>
    </row>
    <row r="3" spans="1:18" x14ac:dyDescent="0.3">
      <c r="P3" s="2"/>
      <c r="Q3" s="2"/>
      <c r="R3" s="2"/>
    </row>
    <row r="4" spans="1:18" x14ac:dyDescent="0.3">
      <c r="P4" s="2"/>
      <c r="Q4" s="9" t="s">
        <v>110</v>
      </c>
      <c r="R4" s="9" t="s">
        <v>111</v>
      </c>
    </row>
    <row r="5" spans="1:18" x14ac:dyDescent="0.3">
      <c r="P5" s="9" t="s">
        <v>107</v>
      </c>
      <c r="Q5" s="2" t="s">
        <v>125</v>
      </c>
      <c r="R5" s="2" t="str">
        <f>Sheet2!G2</f>
        <v>29.24 ± 5.14</v>
      </c>
    </row>
    <row r="6" spans="1:18" x14ac:dyDescent="0.3">
      <c r="P6" s="9" t="s">
        <v>108</v>
      </c>
      <c r="Q6" s="2" t="s">
        <v>112</v>
      </c>
      <c r="R6" s="2" t="str">
        <f>Sheet2!G5</f>
        <v>173.37 ± 4.62</v>
      </c>
    </row>
    <row r="7" spans="1:18" x14ac:dyDescent="0.3">
      <c r="P7" s="9" t="s">
        <v>109</v>
      </c>
      <c r="Q7" s="2" t="s">
        <v>113</v>
      </c>
      <c r="R7" s="2" t="str">
        <f>Sheet2!G4</f>
        <v>75.21 ± 7.93</v>
      </c>
    </row>
    <row r="37" spans="1:5" x14ac:dyDescent="0.3">
      <c r="A37" s="9" t="s">
        <v>128</v>
      </c>
    </row>
    <row r="39" spans="1:5" x14ac:dyDescent="0.3">
      <c r="B39" s="11" t="s">
        <v>104</v>
      </c>
      <c r="C39" s="11"/>
      <c r="D39" s="11"/>
      <c r="E39" s="11"/>
    </row>
    <row r="40" spans="1:5" x14ac:dyDescent="0.3">
      <c r="B40" s="9" t="s">
        <v>43</v>
      </c>
      <c r="C40" s="9" t="s">
        <v>81</v>
      </c>
      <c r="D40" s="9" t="s">
        <v>90</v>
      </c>
      <c r="E40" s="9" t="s">
        <v>129</v>
      </c>
    </row>
    <row r="41" spans="1:5" x14ac:dyDescent="0.3">
      <c r="A41" s="9" t="s">
        <v>107</v>
      </c>
      <c r="B41" t="str">
        <f>Sheet2!G30</f>
        <v>30.20 ± 5.86</v>
      </c>
      <c r="C41" t="str">
        <f>Sheet2!G31</f>
        <v>28.00 ± 5.21</v>
      </c>
      <c r="D41" t="str">
        <f>Sheet2!G32</f>
        <v>29.53 ± 4.10</v>
      </c>
      <c r="E41">
        <v>0.23699999999999999</v>
      </c>
    </row>
    <row r="42" spans="1:5" x14ac:dyDescent="0.3">
      <c r="A42" s="9" t="s">
        <v>108</v>
      </c>
      <c r="B42" t="str">
        <f>Sheet2!G41</f>
        <v>173.77 ± 4.19</v>
      </c>
      <c r="C42" t="str">
        <f>Sheet2!G42</f>
        <v>174.60 ± 4.48</v>
      </c>
      <c r="D42" t="str">
        <f>Sheet2!G43</f>
        <v>171.73 ± 4.83</v>
      </c>
      <c r="E42">
        <v>4.4999999999999998E-2</v>
      </c>
    </row>
    <row r="43" spans="1:5" x14ac:dyDescent="0.3">
      <c r="A43" s="9" t="s">
        <v>109</v>
      </c>
      <c r="B43" t="str">
        <f>Sheet2!G36</f>
        <v>76.97 ± 9.38</v>
      </c>
      <c r="C43" t="str">
        <f>Sheet2!G37</f>
        <v>74.27 ± 7.64</v>
      </c>
      <c r="D43" t="str">
        <f>Sheet2!G38</f>
        <v>74.40 ± 6.48</v>
      </c>
      <c r="E43">
        <v>0.33500000000000002</v>
      </c>
    </row>
    <row r="46" spans="1:5" x14ac:dyDescent="0.3">
      <c r="A46" s="9" t="s">
        <v>133</v>
      </c>
    </row>
    <row r="48" spans="1:5" x14ac:dyDescent="0.3">
      <c r="A48" s="14"/>
      <c r="B48" s="14"/>
      <c r="C48" s="9" t="s">
        <v>104</v>
      </c>
      <c r="D48" s="9" t="s">
        <v>140</v>
      </c>
      <c r="E48" s="9"/>
    </row>
    <row r="49" spans="1:5" x14ac:dyDescent="0.3">
      <c r="A49" s="13" t="s">
        <v>141</v>
      </c>
      <c r="B49" s="2"/>
      <c r="C49" s="9"/>
      <c r="D49" s="9"/>
      <c r="E49" s="9"/>
    </row>
    <row r="50" spans="1:5" x14ac:dyDescent="0.3">
      <c r="A50" s="13"/>
      <c r="B50" s="9" t="s">
        <v>142</v>
      </c>
      <c r="C50" t="str">
        <f>Sheet2!G6</f>
        <v>14.81 ± 0.77</v>
      </c>
      <c r="D50" s="12" t="str">
        <f>Sheet2!G46</f>
        <v>3.17 ± 1.78</v>
      </c>
    </row>
    <row r="51" spans="1:5" x14ac:dyDescent="0.3">
      <c r="A51" s="13"/>
      <c r="B51" s="9" t="s">
        <v>143</v>
      </c>
      <c r="C51" t="str">
        <f>Sheet2!G7</f>
        <v>14.34 ± 0.79</v>
      </c>
      <c r="D51" s="12"/>
    </row>
    <row r="52" spans="1:5" x14ac:dyDescent="0.3">
      <c r="A52" s="13"/>
      <c r="B52" s="9"/>
    </row>
    <row r="53" spans="1:5" x14ac:dyDescent="0.3">
      <c r="A53" s="13" t="s">
        <v>144</v>
      </c>
      <c r="B53" s="9"/>
    </row>
    <row r="54" spans="1:5" x14ac:dyDescent="0.3">
      <c r="A54" s="13"/>
      <c r="B54" s="9" t="s">
        <v>142</v>
      </c>
      <c r="C54" t="str">
        <f>Sheet2!G9</f>
        <v>43.63 ± 2.63</v>
      </c>
      <c r="D54" s="12" t="str">
        <f>Sheet2!G47</f>
        <v>2.83 ± 1.71</v>
      </c>
    </row>
    <row r="55" spans="1:5" x14ac:dyDescent="0.3">
      <c r="A55" s="13"/>
      <c r="B55" s="9" t="s">
        <v>143</v>
      </c>
      <c r="C55" t="str">
        <f>Sheet2!G10</f>
        <v>42.39 ± 2.55</v>
      </c>
      <c r="D55" s="12"/>
    </row>
    <row r="56" spans="1:5" x14ac:dyDescent="0.3">
      <c r="A56" s="13"/>
      <c r="B56" s="9"/>
    </row>
    <row r="57" spans="1:5" x14ac:dyDescent="0.3">
      <c r="A57" s="13" t="s">
        <v>145</v>
      </c>
      <c r="B57" s="9"/>
    </row>
    <row r="58" spans="1:5" x14ac:dyDescent="0.3">
      <c r="A58" s="13"/>
      <c r="B58" s="9" t="s">
        <v>142</v>
      </c>
      <c r="C58" t="str">
        <f>Sheet2!G12</f>
        <v>274.60 ± 54.73</v>
      </c>
      <c r="D58" s="12" t="str">
        <f>Sheet2!G48</f>
        <v>25.66 ± 6.23</v>
      </c>
    </row>
    <row r="59" spans="1:5" x14ac:dyDescent="0.3">
      <c r="A59" s="13"/>
      <c r="B59" s="9" t="s">
        <v>143</v>
      </c>
      <c r="C59" t="str">
        <f>Sheet2!G13</f>
        <v>204.47 ± 45.92</v>
      </c>
      <c r="D59" s="12"/>
    </row>
    <row r="60" spans="1:5" x14ac:dyDescent="0.3">
      <c r="A60" s="13"/>
      <c r="B60" s="2"/>
    </row>
    <row r="62" spans="1:5" x14ac:dyDescent="0.3">
      <c r="A62" s="9" t="s">
        <v>150</v>
      </c>
    </row>
    <row r="64" spans="1:5" x14ac:dyDescent="0.3">
      <c r="B64" s="9" t="s">
        <v>43</v>
      </c>
      <c r="C64" s="9" t="s">
        <v>81</v>
      </c>
      <c r="D64" s="9" t="s">
        <v>90</v>
      </c>
      <c r="E64" s="9" t="s">
        <v>129</v>
      </c>
    </row>
    <row r="65" spans="1:5" x14ac:dyDescent="0.3">
      <c r="A65" s="9" t="s">
        <v>151</v>
      </c>
      <c r="B65" t="str">
        <f>Sheet2!G51</f>
        <v>2535.87 ± 373.42</v>
      </c>
      <c r="C65" t="str">
        <f>Sheet2!G52</f>
        <v>2961.70 ± 349.14</v>
      </c>
      <c r="D65" t="str">
        <f>Sheet2!G53</f>
        <v>2708.17 ± 502.47</v>
      </c>
      <c r="E65" t="s">
        <v>155</v>
      </c>
    </row>
    <row r="66" spans="1:5" x14ac:dyDescent="0.3">
      <c r="A66" s="9" t="s">
        <v>152</v>
      </c>
      <c r="B66" t="str">
        <f>Sheet2!G57</f>
        <v>238.83 ± 3.36</v>
      </c>
      <c r="C66" t="str">
        <f>Sheet2!G58</f>
        <v>335.67 ± 9.23</v>
      </c>
      <c r="D66" t="str">
        <f>Sheet2!G59</f>
        <v>266.50 ± 7.06</v>
      </c>
      <c r="E66" s="2" t="s">
        <v>155</v>
      </c>
    </row>
    <row r="67" spans="1:5" x14ac:dyDescent="0.3">
      <c r="A67" s="9" t="s">
        <v>153</v>
      </c>
      <c r="B67" t="str">
        <f>Sheet2!G62</f>
        <v>49.57 ± 9.53</v>
      </c>
      <c r="C67" t="str">
        <f>Sheet2!G63</f>
        <v>73.07 ± 8.62</v>
      </c>
      <c r="D67" t="str">
        <f>Sheet2!G64</f>
        <v>58.57 ± 10.89</v>
      </c>
      <c r="E67" s="2" t="s">
        <v>155</v>
      </c>
    </row>
    <row r="68" spans="1:5" x14ac:dyDescent="0.3">
      <c r="A68" s="9" t="s">
        <v>154</v>
      </c>
      <c r="B68" t="str">
        <f>Sheet2!G67</f>
        <v>1405.33 ± 415.49</v>
      </c>
      <c r="C68" t="str">
        <f>Sheet2!G68</f>
        <v>1133.63 ± 99.60</v>
      </c>
      <c r="D68" t="str">
        <f>Sheet2!G69</f>
        <v>1542.03 ± 104.66</v>
      </c>
      <c r="E68" s="2" t="s">
        <v>155</v>
      </c>
    </row>
    <row r="72" spans="1:5" x14ac:dyDescent="0.3">
      <c r="A72" s="9" t="s">
        <v>164</v>
      </c>
    </row>
    <row r="73" spans="1:5" x14ac:dyDescent="0.3">
      <c r="A73" s="9" t="s">
        <v>157</v>
      </c>
      <c r="B73" s="9" t="s">
        <v>43</v>
      </c>
      <c r="C73" s="9" t="s">
        <v>81</v>
      </c>
      <c r="D73" s="9" t="s">
        <v>90</v>
      </c>
    </row>
    <row r="74" spans="1:5" x14ac:dyDescent="0.3">
      <c r="A74" s="9" t="s">
        <v>158</v>
      </c>
      <c r="B74">
        <f>COUNTIFS(All!B2:B91,"Amicus",All!AE2:AE91,1)</f>
        <v>11</v>
      </c>
      <c r="C74">
        <f>COUNTIFS(All!B2:B91,"Comtec",All!AE2:AE91,1)</f>
        <v>1</v>
      </c>
      <c r="D74">
        <f>COUNTIFS(All!B2:B91,"Optia",All!AE2:AE91,1)</f>
        <v>0</v>
      </c>
    </row>
    <row r="75" spans="1:5" x14ac:dyDescent="0.3">
      <c r="A75" s="9" t="s">
        <v>159</v>
      </c>
      <c r="B75">
        <f>COUNTIFS(All!B2:B91,"Amicus",All!AE2:AE91,2)</f>
        <v>6</v>
      </c>
      <c r="C75">
        <f>COUNTIFS(All!B2:B91,"Comtec",All!AE2:AE91,2)</f>
        <v>2</v>
      </c>
      <c r="D75">
        <f>COUNTIFS(All!B2:B91,"Optia",All!AE2:AE91,2)</f>
        <v>1</v>
      </c>
    </row>
    <row r="76" spans="1:5" x14ac:dyDescent="0.3">
      <c r="A76" s="9" t="s">
        <v>160</v>
      </c>
      <c r="B76">
        <f>COUNTIFS(All!B2:B91,"Amicus",All!AE2:AE91,3)</f>
        <v>13</v>
      </c>
      <c r="C76">
        <f>COUNTIFS(All!B2:B91,"Comtec",All!AE2:AE91,3)</f>
        <v>27</v>
      </c>
      <c r="D76">
        <f>COUNTIFS(All!B2:B91,"Optia",All!AE2:AE91,3)</f>
        <v>29</v>
      </c>
    </row>
    <row r="77" spans="1:5" x14ac:dyDescent="0.3">
      <c r="A77" s="9" t="s">
        <v>162</v>
      </c>
      <c r="B77" t="str">
        <f>Sheet2!G74</f>
        <v>3.36 ± 0.96</v>
      </c>
      <c r="C77" t="str">
        <f>Sheet2!G75</f>
        <v>3.82 ± 0.37</v>
      </c>
      <c r="D77" t="str">
        <f>Sheet2!G76</f>
        <v>4.09 ± 0.27</v>
      </c>
    </row>
    <row r="80" spans="1:5" x14ac:dyDescent="0.3">
      <c r="A80" s="9" t="s">
        <v>163</v>
      </c>
    </row>
    <row r="81" spans="1:27" s="2" customFormat="1" x14ac:dyDescent="0.3">
      <c r="A81" s="9"/>
    </row>
    <row r="82" spans="1:27" x14ac:dyDescent="0.3">
      <c r="B82" s="9" t="s">
        <v>168</v>
      </c>
      <c r="C82" s="9" t="s">
        <v>169</v>
      </c>
      <c r="D82" s="9" t="s">
        <v>170</v>
      </c>
    </row>
    <row r="83" spans="1:27" x14ac:dyDescent="0.3">
      <c r="A83" s="9" t="s">
        <v>165</v>
      </c>
      <c r="B83">
        <v>90</v>
      </c>
      <c r="C83">
        <f>CORREL(All!G2:G91,All!AD2:AD91)</f>
        <v>9.9240161163755506E-3</v>
      </c>
      <c r="D83">
        <v>0.92600000000000005</v>
      </c>
    </row>
    <row r="84" spans="1:27" x14ac:dyDescent="0.3">
      <c r="A84" s="9" t="s">
        <v>166</v>
      </c>
      <c r="B84" s="2">
        <v>90</v>
      </c>
      <c r="C84">
        <f>CORREL(All!O2:O91,All!AD2:AD91)</f>
        <v>-2.0209772381355379E-2</v>
      </c>
      <c r="D84">
        <v>0.85</v>
      </c>
    </row>
    <row r="85" spans="1:27" x14ac:dyDescent="0.3">
      <c r="A85" s="9" t="s">
        <v>151</v>
      </c>
      <c r="B85" s="2">
        <v>90</v>
      </c>
      <c r="C85">
        <f>CORREL(All!Y2:Y91,All!AD2:AD91)</f>
        <v>0.14961239571152507</v>
      </c>
      <c r="D85">
        <v>0.159</v>
      </c>
    </row>
    <row r="86" spans="1:27" x14ac:dyDescent="0.3">
      <c r="A86" s="9" t="s">
        <v>167</v>
      </c>
      <c r="B86" s="2">
        <v>90</v>
      </c>
      <c r="C86">
        <f>CORREL(All!AB2:AB91,All!AD2:AD91)</f>
        <v>0.1927635515511496</v>
      </c>
      <c r="D86">
        <v>6.9000000000000006E-2</v>
      </c>
    </row>
    <row r="87" spans="1:27" x14ac:dyDescent="0.3">
      <c r="A87" s="9" t="s">
        <v>153</v>
      </c>
      <c r="B87">
        <v>90</v>
      </c>
      <c r="C87">
        <f>CORREL(All!AA2:AA91,All!AD2:AD91)</f>
        <v>0.10683432589149829</v>
      </c>
      <c r="D87">
        <v>0.316</v>
      </c>
    </row>
    <row r="88" spans="1:27" x14ac:dyDescent="0.3">
      <c r="A88" s="9"/>
    </row>
    <row r="91" spans="1:27" x14ac:dyDescent="0.3">
      <c r="A91" s="9" t="s">
        <v>171</v>
      </c>
    </row>
    <row r="93" spans="1:27" s="9" customFormat="1" x14ac:dyDescent="0.3">
      <c r="A93" s="13" t="s">
        <v>172</v>
      </c>
      <c r="B93" s="11"/>
      <c r="C93" s="13" t="s">
        <v>43</v>
      </c>
      <c r="D93" s="13" t="s">
        <v>81</v>
      </c>
      <c r="E93" s="13" t="s">
        <v>90</v>
      </c>
      <c r="F93" s="13" t="s">
        <v>185</v>
      </c>
    </row>
    <row r="94" spans="1:27" x14ac:dyDescent="0.3">
      <c r="A94" s="13"/>
      <c r="B94" s="11"/>
      <c r="C94" s="13"/>
      <c r="D94" s="13"/>
      <c r="E94" s="13"/>
      <c r="F94" s="13"/>
    </row>
    <row r="95" spans="1:27" x14ac:dyDescent="0.3">
      <c r="A95" s="13" t="s">
        <v>141</v>
      </c>
      <c r="B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13"/>
      <c r="B96" s="9" t="s">
        <v>142</v>
      </c>
      <c r="C96" t="s">
        <v>176</v>
      </c>
      <c r="D96" t="str">
        <f>TEXT(AVERAGE(All!G32:G61), "0.00") &amp; "±"&amp; TEXT(_xlfn.STDEV.S(All!G32:G61), "0.00")</f>
        <v>14.91±0.70</v>
      </c>
      <c r="E96" t="str">
        <f>TEXT(AVERAGE(All!G62:G91),"0.00")&amp;"±"&amp;TEXT(_xlfn.STDEV.S(All!G62:G91),"0.00")</f>
        <v>14.80±0.67</v>
      </c>
      <c r="F96">
        <v>0.65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13"/>
      <c r="B97" s="9" t="s">
        <v>143</v>
      </c>
      <c r="C97" t="s">
        <v>177</v>
      </c>
      <c r="D97" s="2" t="str">
        <f>TEXT(AVERAGE(All!H32:H61), "0.00") &amp; "±"&amp; TEXT(_xlfn.STDEV.S(All!H32:H61), "0.00")</f>
        <v>14.52±0.67</v>
      </c>
      <c r="E97" s="2" t="str">
        <f>TEXT(AVERAGE(All!H62:H91),"0.00")&amp;"±"&amp;TEXT(_xlfn.STDEV.S(All!H62:H91),"0.00")</f>
        <v>14.36±0.69</v>
      </c>
      <c r="F97">
        <v>0.18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13"/>
      <c r="B98" s="9" t="s">
        <v>173</v>
      </c>
      <c r="C98" t="s">
        <v>178</v>
      </c>
      <c r="D98" t="str">
        <f>TEXT(AVERAGE(All!I32:I61), "0.00") &amp; "±"&amp; TEXT(_xlfn.STDEV.S(All!I32:I61), "0.00")</f>
        <v>0.39±0.14</v>
      </c>
      <c r="E98" t="str">
        <f>TEXT(AVERAGE(All!I62:I91),"0.00")&amp;"±"&amp;TEXT(_xlfn.STDEV.S(All!I62:I91),"0.00")</f>
        <v>0.44±0.34</v>
      </c>
      <c r="F98">
        <v>1.2999999999999999E-2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13"/>
      <c r="B99" s="9" t="s">
        <v>174</v>
      </c>
      <c r="C99" t="s">
        <v>186</v>
      </c>
      <c r="D99" s="2" t="s">
        <v>186</v>
      </c>
      <c r="E99" s="2" t="s">
        <v>186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13" t="s">
        <v>144</v>
      </c>
      <c r="B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13"/>
      <c r="B101" s="9" t="s">
        <v>142</v>
      </c>
      <c r="C101" t="s">
        <v>179</v>
      </c>
      <c r="D101" t="str">
        <f>TEXT(AVERAGE(All!K32:K61), "0.00") &amp; "±"&amp; TEXT(_xlfn.STDEV.S(All!K32:K61), "0.00")</f>
        <v>43.74±2.19</v>
      </c>
      <c r="E101" t="str">
        <f>TEXT(AVERAGE(All!K62:K91),"0.00")&amp;"±"&amp;TEXT(_xlfn.STDEV.S(All!K62:K91),"0.00")</f>
        <v>42.46±1.96</v>
      </c>
      <c r="F101">
        <v>3.0000000000000001E-3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13"/>
      <c r="B102" s="9" t="s">
        <v>143</v>
      </c>
      <c r="C102" t="s">
        <v>180</v>
      </c>
      <c r="D102" t="str">
        <f>TEXT(AVERAGE(All!L32:L61), "0.00") &amp; "±"&amp; TEXT(_xlfn.STDEV.S(All!L32:L61), "0.00")</f>
        <v>42.44±2.27</v>
      </c>
      <c r="E102" t="str">
        <f>TEXT(AVERAGE(All!L62:L91),"0.00")&amp;"±"&amp;TEXT(_xlfn.STDEV.S(All!L62:L91),"0.00")</f>
        <v>41.74±1.92</v>
      </c>
      <c r="F102">
        <v>0.16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13"/>
      <c r="B103" s="9" t="s">
        <v>173</v>
      </c>
      <c r="C103" t="s">
        <v>181</v>
      </c>
      <c r="D103" t="str">
        <f>TEXT(AVERAGE(All!M32:M61), "0.00") &amp; "±"&amp; TEXT(_xlfn.STDEV.S(All!M32:M61), "0.00")</f>
        <v>1.30±0.58</v>
      </c>
      <c r="E103" t="str">
        <f>TEXT(AVERAGE(All!M62:M91),"0.00")&amp;"±"&amp;TEXT(_xlfn.STDEV.S(All!M62:M91),"0.00")</f>
        <v>0.73±0.63</v>
      </c>
      <c r="F103" t="s">
        <v>186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13"/>
      <c r="B104" s="9" t="s">
        <v>174</v>
      </c>
      <c r="C104" s="2" t="s">
        <v>186</v>
      </c>
      <c r="D104" s="2" t="s">
        <v>186</v>
      </c>
      <c r="E104" s="2" t="s">
        <v>186</v>
      </c>
      <c r="H104" s="2"/>
      <c r="I104" s="2"/>
      <c r="J104" s="2"/>
      <c r="K104" s="2"/>
      <c r="L104" s="2"/>
      <c r="M104" s="2"/>
      <c r="N104" s="2"/>
      <c r="O104" s="2"/>
    </row>
    <row r="105" spans="1:27" x14ac:dyDescent="0.3">
      <c r="A105" s="13" t="s">
        <v>175</v>
      </c>
      <c r="B105" s="9"/>
      <c r="H105" s="2"/>
      <c r="I105" s="2"/>
      <c r="J105" s="2"/>
      <c r="K105" s="2"/>
      <c r="L105" s="2"/>
      <c r="M105" s="2"/>
      <c r="N105" s="2"/>
      <c r="O105" s="2"/>
    </row>
    <row r="106" spans="1:27" x14ac:dyDescent="0.3">
      <c r="A106" s="13"/>
      <c r="B106" s="9" t="s">
        <v>142</v>
      </c>
      <c r="C106" t="s">
        <v>182</v>
      </c>
      <c r="D106" t="str">
        <f>TEXT(AVERAGE(All!O32:O61), "0.00") &amp; "±"&amp; TEXT(_xlfn.STDEV.S(All!O32:O61), "0.00")</f>
        <v>304.57±50.27</v>
      </c>
      <c r="E106" t="str">
        <f>TEXT(AVERAGE(All!O62:O91),"0.00")&amp;"±"&amp;TEXT(_xlfn.STDEV.S(All!O62:O91),"0.00")</f>
        <v>252.17±42.44</v>
      </c>
      <c r="F106" t="s">
        <v>186</v>
      </c>
      <c r="H106" s="2"/>
      <c r="I106" s="2"/>
      <c r="J106" s="2"/>
      <c r="K106" s="2"/>
      <c r="L106" s="2"/>
      <c r="M106" s="2"/>
      <c r="N106" s="2"/>
      <c r="O106" s="2"/>
    </row>
    <row r="107" spans="1:27" x14ac:dyDescent="0.3">
      <c r="A107" s="13"/>
      <c r="B107" s="9" t="s">
        <v>143</v>
      </c>
      <c r="C107" t="s">
        <v>183</v>
      </c>
      <c r="D107" t="str">
        <f>TEXT(AVERAGE(All!P32:P61), "0.00") &amp; "±"&amp; TEXT(_xlfn.STDEV.S(All!P32:P61), "0.00")</f>
        <v>218.17±44.88</v>
      </c>
      <c r="E107" t="str">
        <f>TEXT(AVERAGE(All!P62:P91),"0.00")&amp;"±"&amp;TEXT(_xlfn.STDEV.S(All!P62:P91),"0.00")</f>
        <v>197.37±38.69</v>
      </c>
      <c r="F107">
        <v>0.13500000000000001</v>
      </c>
      <c r="H107" s="2"/>
      <c r="I107" s="2"/>
      <c r="J107" s="2"/>
      <c r="K107" s="2"/>
      <c r="L107" s="2"/>
      <c r="M107" s="2"/>
      <c r="N107" s="2"/>
      <c r="O107" s="2"/>
    </row>
    <row r="108" spans="1:27" x14ac:dyDescent="0.3">
      <c r="A108" s="13"/>
      <c r="B108" s="9" t="s">
        <v>173</v>
      </c>
      <c r="C108" t="s">
        <v>184</v>
      </c>
      <c r="D108" t="str">
        <f>TEXT(AVERAGE(All!Q32:Q61), "0.00") &amp; "±"&amp; TEXT(_xlfn.STDEV.S(All!Q32:Q61), "0.00")</f>
        <v>86.40±12.76</v>
      </c>
      <c r="E108" t="str">
        <f>TEXT(AVERAGE(All!Q62:Q91),"0.00")&amp;"±"&amp;TEXT(_xlfn.STDEV.S(All!Q62:Q91),"0.00")</f>
        <v>54.80±17.26</v>
      </c>
      <c r="F108" t="s">
        <v>186</v>
      </c>
      <c r="H108" s="2"/>
      <c r="I108" s="2"/>
      <c r="J108" s="2"/>
      <c r="K108" s="2"/>
      <c r="L108" s="2"/>
      <c r="M108" s="2"/>
      <c r="N108" s="2"/>
      <c r="O108" s="2"/>
    </row>
    <row r="109" spans="1:27" x14ac:dyDescent="0.3">
      <c r="A109" s="13"/>
      <c r="B109" s="9" t="s">
        <v>174</v>
      </c>
      <c r="C109" s="2" t="s">
        <v>186</v>
      </c>
      <c r="D109" s="2" t="s">
        <v>186</v>
      </c>
      <c r="E109" s="2" t="s">
        <v>186</v>
      </c>
      <c r="H109" s="2"/>
      <c r="I109" s="2"/>
      <c r="J109" s="2"/>
      <c r="K109" s="2"/>
      <c r="L109" s="2"/>
      <c r="M109" s="2"/>
      <c r="N109" s="2"/>
      <c r="O109" s="2"/>
    </row>
    <row r="110" spans="1:27" x14ac:dyDescent="0.3">
      <c r="H110" s="2"/>
      <c r="I110" s="2"/>
      <c r="J110" s="2"/>
      <c r="K110" s="2"/>
      <c r="L110" s="2"/>
      <c r="M110" s="2"/>
      <c r="N110" s="2"/>
      <c r="O110" s="2"/>
    </row>
    <row r="111" spans="1:27" x14ac:dyDescent="0.3">
      <c r="H111" s="2"/>
      <c r="I111" s="2"/>
      <c r="J111" s="2"/>
      <c r="K111" s="2"/>
      <c r="L111" s="2"/>
      <c r="M111" s="2"/>
      <c r="N111" s="2"/>
      <c r="O111" s="2"/>
    </row>
  </sheetData>
  <mergeCells count="17">
    <mergeCell ref="A100:A104"/>
    <mergeCell ref="A105:A109"/>
    <mergeCell ref="C93:C94"/>
    <mergeCell ref="D93:D94"/>
    <mergeCell ref="E93:E94"/>
    <mergeCell ref="F93:F94"/>
    <mergeCell ref="A95:A99"/>
    <mergeCell ref="A49:A52"/>
    <mergeCell ref="A53:A56"/>
    <mergeCell ref="A57:A60"/>
    <mergeCell ref="A48:B48"/>
    <mergeCell ref="A93:A94"/>
    <mergeCell ref="B93:B94"/>
    <mergeCell ref="B39:E39"/>
    <mergeCell ref="D50:D51"/>
    <mergeCell ref="D54:D55"/>
    <mergeCell ref="D58:D59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0328-AB5B-4DF2-955C-78A39CC047DC}">
  <dimension ref="A3:G88"/>
  <sheetViews>
    <sheetView tabSelected="1" topLeftCell="A76" workbookViewId="0">
      <selection activeCell="I83" sqref="I83"/>
    </sheetView>
  </sheetViews>
  <sheetFormatPr defaultColWidth="18.21875" defaultRowHeight="14.4" x14ac:dyDescent="0.3"/>
  <cols>
    <col min="1" max="1" width="22.33203125" customWidth="1"/>
  </cols>
  <sheetData>
    <row r="3" spans="1:5" x14ac:dyDescent="0.3">
      <c r="A3" s="6" t="s">
        <v>188</v>
      </c>
      <c r="B3" s="6" t="s">
        <v>187</v>
      </c>
    </row>
    <row r="4" spans="1:5" x14ac:dyDescent="0.3">
      <c r="A4" s="6" t="s">
        <v>123</v>
      </c>
      <c r="B4" s="2" t="s">
        <v>43</v>
      </c>
      <c r="C4" s="2" t="s">
        <v>81</v>
      </c>
      <c r="D4" s="2" t="s">
        <v>90</v>
      </c>
      <c r="E4" s="2" t="s">
        <v>124</v>
      </c>
    </row>
    <row r="5" spans="1:5" x14ac:dyDescent="0.3">
      <c r="A5" s="7">
        <v>19</v>
      </c>
      <c r="B5" s="8"/>
      <c r="C5" s="8">
        <v>2</v>
      </c>
      <c r="D5" s="8"/>
      <c r="E5" s="8">
        <v>2</v>
      </c>
    </row>
    <row r="6" spans="1:5" x14ac:dyDescent="0.3">
      <c r="A6" s="7">
        <v>20</v>
      </c>
      <c r="B6" s="8">
        <v>1</v>
      </c>
      <c r="C6" s="8"/>
      <c r="D6" s="8"/>
      <c r="E6" s="8">
        <v>1</v>
      </c>
    </row>
    <row r="7" spans="1:5" x14ac:dyDescent="0.3">
      <c r="A7" s="7">
        <v>21</v>
      </c>
      <c r="B7" s="8"/>
      <c r="C7" s="8"/>
      <c r="D7" s="8">
        <v>1</v>
      </c>
      <c r="E7" s="8">
        <v>1</v>
      </c>
    </row>
    <row r="8" spans="1:5" x14ac:dyDescent="0.3">
      <c r="A8" s="7">
        <v>22</v>
      </c>
      <c r="B8" s="8">
        <v>2</v>
      </c>
      <c r="C8" s="8">
        <v>2</v>
      </c>
      <c r="D8" s="8"/>
      <c r="E8" s="8">
        <v>4</v>
      </c>
    </row>
    <row r="9" spans="1:5" x14ac:dyDescent="0.3">
      <c r="A9" s="7">
        <v>23</v>
      </c>
      <c r="B9" s="8"/>
      <c r="C9" s="8">
        <v>2</v>
      </c>
      <c r="D9" s="8"/>
      <c r="E9" s="8">
        <v>2</v>
      </c>
    </row>
    <row r="10" spans="1:5" x14ac:dyDescent="0.3">
      <c r="A10" s="7">
        <v>24</v>
      </c>
      <c r="B10" s="8">
        <v>3</v>
      </c>
      <c r="C10" s="8">
        <v>2</v>
      </c>
      <c r="D10" s="8">
        <v>1</v>
      </c>
      <c r="E10" s="8">
        <v>6</v>
      </c>
    </row>
    <row r="11" spans="1:5" x14ac:dyDescent="0.3">
      <c r="A11" s="7">
        <v>25</v>
      </c>
      <c r="B11" s="8">
        <v>2</v>
      </c>
      <c r="C11" s="8">
        <v>2</v>
      </c>
      <c r="D11" s="8">
        <v>2</v>
      </c>
      <c r="E11" s="8">
        <v>6</v>
      </c>
    </row>
    <row r="12" spans="1:5" x14ac:dyDescent="0.3">
      <c r="A12" s="7">
        <v>26</v>
      </c>
      <c r="B12" s="8"/>
      <c r="C12" s="8">
        <v>4</v>
      </c>
      <c r="D12" s="8">
        <v>3</v>
      </c>
      <c r="E12" s="8">
        <v>7</v>
      </c>
    </row>
    <row r="13" spans="1:5" x14ac:dyDescent="0.3">
      <c r="A13" s="7">
        <v>27</v>
      </c>
      <c r="B13" s="8">
        <v>3</v>
      </c>
      <c r="C13" s="8">
        <v>1</v>
      </c>
      <c r="D13" s="8">
        <v>2</v>
      </c>
      <c r="E13" s="8">
        <v>6</v>
      </c>
    </row>
    <row r="14" spans="1:5" x14ac:dyDescent="0.3">
      <c r="A14" s="7">
        <v>28</v>
      </c>
      <c r="B14" s="8">
        <v>3</v>
      </c>
      <c r="C14" s="8">
        <v>1</v>
      </c>
      <c r="D14" s="8">
        <v>3</v>
      </c>
      <c r="E14" s="8">
        <v>7</v>
      </c>
    </row>
    <row r="15" spans="1:5" x14ac:dyDescent="0.3">
      <c r="A15" s="7">
        <v>29</v>
      </c>
      <c r="B15" s="8"/>
      <c r="C15" s="8">
        <v>3</v>
      </c>
      <c r="D15" s="8">
        <v>4</v>
      </c>
      <c r="E15" s="8">
        <v>7</v>
      </c>
    </row>
    <row r="16" spans="1:5" x14ac:dyDescent="0.3">
      <c r="A16" s="7">
        <v>30</v>
      </c>
      <c r="B16" s="8">
        <v>3</v>
      </c>
      <c r="C16" s="8">
        <v>2</v>
      </c>
      <c r="D16" s="8">
        <v>3</v>
      </c>
      <c r="E16" s="8">
        <v>8</v>
      </c>
    </row>
    <row r="17" spans="1:7" x14ac:dyDescent="0.3">
      <c r="A17" s="7">
        <v>31</v>
      </c>
      <c r="B17" s="8"/>
      <c r="C17" s="8">
        <v>1</v>
      </c>
      <c r="D17" s="8">
        <v>3</v>
      </c>
      <c r="E17" s="8">
        <v>4</v>
      </c>
    </row>
    <row r="18" spans="1:7" x14ac:dyDescent="0.3">
      <c r="A18" s="7">
        <v>32</v>
      </c>
      <c r="B18" s="8">
        <v>3</v>
      </c>
      <c r="C18" s="8">
        <v>3</v>
      </c>
      <c r="D18" s="8">
        <v>3</v>
      </c>
      <c r="E18" s="8">
        <v>9</v>
      </c>
    </row>
    <row r="19" spans="1:7" x14ac:dyDescent="0.3">
      <c r="A19" s="7">
        <v>33</v>
      </c>
      <c r="B19" s="8">
        <v>1</v>
      </c>
      <c r="C19" s="8">
        <v>1</v>
      </c>
      <c r="D19" s="8">
        <v>1</v>
      </c>
      <c r="E19" s="8">
        <v>3</v>
      </c>
    </row>
    <row r="20" spans="1:7" x14ac:dyDescent="0.3">
      <c r="A20" s="7">
        <v>34</v>
      </c>
      <c r="B20" s="8">
        <v>1</v>
      </c>
      <c r="C20" s="8">
        <v>1</v>
      </c>
      <c r="D20" s="8">
        <v>1</v>
      </c>
      <c r="E20" s="8">
        <v>3</v>
      </c>
    </row>
    <row r="21" spans="1:7" x14ac:dyDescent="0.3">
      <c r="A21" s="7">
        <v>35</v>
      </c>
      <c r="B21" s="8">
        <v>2</v>
      </c>
      <c r="C21" s="8"/>
      <c r="D21" s="8">
        <v>1</v>
      </c>
      <c r="E21" s="8">
        <v>3</v>
      </c>
    </row>
    <row r="22" spans="1:7" x14ac:dyDescent="0.3">
      <c r="A22" s="7">
        <v>36</v>
      </c>
      <c r="B22" s="8">
        <v>2</v>
      </c>
      <c r="C22" s="8">
        <v>1</v>
      </c>
      <c r="D22" s="8">
        <v>1</v>
      </c>
      <c r="E22" s="8">
        <v>4</v>
      </c>
    </row>
    <row r="23" spans="1:7" x14ac:dyDescent="0.3">
      <c r="A23" s="7">
        <v>38</v>
      </c>
      <c r="B23" s="8">
        <v>1</v>
      </c>
      <c r="C23" s="8">
        <v>1</v>
      </c>
      <c r="D23" s="8"/>
      <c r="E23" s="8">
        <v>2</v>
      </c>
    </row>
    <row r="24" spans="1:7" x14ac:dyDescent="0.3">
      <c r="A24" s="7">
        <v>39</v>
      </c>
      <c r="B24" s="8">
        <v>1</v>
      </c>
      <c r="C24" s="8"/>
      <c r="D24" s="8"/>
      <c r="E24" s="8">
        <v>1</v>
      </c>
    </row>
    <row r="25" spans="1:7" x14ac:dyDescent="0.3">
      <c r="A25" s="7">
        <v>40</v>
      </c>
      <c r="B25" s="8">
        <v>1</v>
      </c>
      <c r="C25" s="8">
        <v>1</v>
      </c>
      <c r="D25" s="8"/>
      <c r="E25" s="8">
        <v>2</v>
      </c>
    </row>
    <row r="26" spans="1:7" x14ac:dyDescent="0.3">
      <c r="A26" s="7">
        <v>42</v>
      </c>
      <c r="B26" s="8"/>
      <c r="C26" s="8"/>
      <c r="D26" s="8">
        <v>1</v>
      </c>
      <c r="E26" s="8">
        <v>1</v>
      </c>
    </row>
    <row r="27" spans="1:7" x14ac:dyDescent="0.3">
      <c r="A27" s="7">
        <v>43</v>
      </c>
      <c r="B27" s="8">
        <v>1</v>
      </c>
      <c r="C27" s="8"/>
      <c r="D27" s="8"/>
      <c r="E27" s="8">
        <v>1</v>
      </c>
    </row>
    <row r="28" spans="1:7" x14ac:dyDescent="0.3">
      <c r="A28" s="7" t="s">
        <v>124</v>
      </c>
      <c r="B28" s="8">
        <v>30</v>
      </c>
      <c r="C28" s="8">
        <v>30</v>
      </c>
      <c r="D28" s="8">
        <v>30</v>
      </c>
      <c r="E28" s="8">
        <v>90</v>
      </c>
    </row>
    <row r="32" spans="1:7" x14ac:dyDescent="0.3">
      <c r="A32" t="s">
        <v>172</v>
      </c>
      <c r="C32" t="s">
        <v>43</v>
      </c>
      <c r="D32" t="s">
        <v>81</v>
      </c>
      <c r="E32" t="s">
        <v>90</v>
      </c>
      <c r="F32" s="2"/>
      <c r="G32" s="2"/>
    </row>
    <row r="33" spans="1:7" x14ac:dyDescent="0.3">
      <c r="F33" s="2"/>
      <c r="G33" s="2"/>
    </row>
    <row r="34" spans="1:7" x14ac:dyDescent="0.3">
      <c r="A34" t="s">
        <v>141</v>
      </c>
      <c r="C34" s="2" t="s">
        <v>43</v>
      </c>
      <c r="D34" s="2" t="s">
        <v>81</v>
      </c>
      <c r="E34" s="2" t="s">
        <v>90</v>
      </c>
      <c r="F34" s="2"/>
      <c r="G34" s="2"/>
    </row>
    <row r="35" spans="1:7" x14ac:dyDescent="0.3">
      <c r="B35" t="s">
        <v>189</v>
      </c>
      <c r="C35">
        <v>14.72</v>
      </c>
      <c r="D35">
        <v>14.91</v>
      </c>
      <c r="E35">
        <v>14.8</v>
      </c>
      <c r="F35" s="2"/>
      <c r="G35" s="2"/>
    </row>
    <row r="36" spans="1:7" x14ac:dyDescent="0.3">
      <c r="B36" t="s">
        <v>190</v>
      </c>
      <c r="C36">
        <v>14.143000000000001</v>
      </c>
      <c r="D36">
        <v>14.52</v>
      </c>
      <c r="E36">
        <v>14.36</v>
      </c>
      <c r="F36" s="2"/>
      <c r="G36" s="2"/>
    </row>
    <row r="37" spans="1:7" x14ac:dyDescent="0.3">
      <c r="A37" t="s">
        <v>144</v>
      </c>
      <c r="F37" s="2"/>
      <c r="G37" s="2"/>
    </row>
    <row r="38" spans="1:7" x14ac:dyDescent="0.3">
      <c r="B38" t="s">
        <v>191</v>
      </c>
      <c r="C38">
        <v>44.692999999999998</v>
      </c>
      <c r="D38">
        <v>43.74</v>
      </c>
      <c r="E38">
        <v>42.46</v>
      </c>
      <c r="F38" s="2"/>
      <c r="G38" s="2"/>
    </row>
    <row r="39" spans="1:7" x14ac:dyDescent="0.3">
      <c r="B39" t="s">
        <v>192</v>
      </c>
      <c r="C39">
        <v>42.993000000000002</v>
      </c>
      <c r="D39">
        <v>42.44</v>
      </c>
      <c r="E39">
        <v>41.74</v>
      </c>
      <c r="F39" s="2"/>
      <c r="G39" s="2"/>
    </row>
    <row r="40" spans="1:7" x14ac:dyDescent="0.3">
      <c r="A40" t="s">
        <v>175</v>
      </c>
      <c r="F40" s="2"/>
      <c r="G40" s="2"/>
    </row>
    <row r="41" spans="1:7" x14ac:dyDescent="0.3">
      <c r="B41" t="s">
        <v>193</v>
      </c>
      <c r="C41">
        <v>267.06700000000001</v>
      </c>
      <c r="D41">
        <v>304.57</v>
      </c>
      <c r="E41">
        <v>252.17</v>
      </c>
      <c r="F41" s="2"/>
      <c r="G41" s="2"/>
    </row>
    <row r="42" spans="1:7" x14ac:dyDescent="0.3">
      <c r="B42" t="s">
        <v>194</v>
      </c>
      <c r="C42">
        <v>197.86699999999999</v>
      </c>
      <c r="D42">
        <v>218.17</v>
      </c>
      <c r="E42">
        <v>197.37</v>
      </c>
      <c r="F42" s="2"/>
      <c r="G42" s="2"/>
    </row>
    <row r="49" spans="1:5" x14ac:dyDescent="0.3">
      <c r="A49" t="s">
        <v>172</v>
      </c>
      <c r="C49" t="s">
        <v>43</v>
      </c>
      <c r="D49" t="s">
        <v>81</v>
      </c>
      <c r="E49" t="s">
        <v>90</v>
      </c>
    </row>
    <row r="51" spans="1:5" x14ac:dyDescent="0.3">
      <c r="A51" t="s">
        <v>141</v>
      </c>
      <c r="B51" t="s">
        <v>195</v>
      </c>
      <c r="C51" s="2" t="s">
        <v>43</v>
      </c>
      <c r="D51" s="2" t="s">
        <v>81</v>
      </c>
      <c r="E51" s="2" t="s">
        <v>90</v>
      </c>
    </row>
    <row r="52" spans="1:5" x14ac:dyDescent="0.3">
      <c r="B52" t="s">
        <v>141</v>
      </c>
      <c r="C52" s="15">
        <f>0.577/14.72</f>
        <v>3.9198369565217384E-2</v>
      </c>
      <c r="D52" s="15">
        <f>0.39/14.91</f>
        <v>2.6156941649899398E-2</v>
      </c>
      <c r="E52" s="15">
        <f>0.44/14.8</f>
        <v>2.9729729729729728E-2</v>
      </c>
    </row>
    <row r="53" spans="1:5" x14ac:dyDescent="0.3">
      <c r="A53" t="s">
        <v>144</v>
      </c>
      <c r="C53" s="15"/>
      <c r="D53" s="15"/>
      <c r="E53" s="15"/>
    </row>
    <row r="54" spans="1:5" x14ac:dyDescent="0.3">
      <c r="B54" t="s">
        <v>144</v>
      </c>
      <c r="C54" s="15">
        <f>1.7/44.693</f>
        <v>3.8037276531000384E-2</v>
      </c>
      <c r="D54" s="15">
        <f>1.3/43.74</f>
        <v>2.9721079103795154E-2</v>
      </c>
      <c r="E54" s="15">
        <f>0.73/42.46</f>
        <v>1.7192651907677815E-2</v>
      </c>
    </row>
    <row r="55" spans="1:5" x14ac:dyDescent="0.3">
      <c r="A55" t="s">
        <v>175</v>
      </c>
      <c r="C55" s="15"/>
      <c r="D55" s="15"/>
      <c r="E55" s="15"/>
    </row>
    <row r="56" spans="1:5" x14ac:dyDescent="0.3">
      <c r="B56" t="s">
        <v>145</v>
      </c>
      <c r="C56" s="15">
        <f>(69.2/267.067)</f>
        <v>0.25911100959684275</v>
      </c>
      <c r="D56" s="15">
        <f>86.4/304.57</f>
        <v>0.28367862888662709</v>
      </c>
      <c r="E56" s="15">
        <f>54.8/252.17</f>
        <v>0.21731371693698695</v>
      </c>
    </row>
    <row r="64" spans="1:5" x14ac:dyDescent="0.3">
      <c r="A64" t="s">
        <v>197</v>
      </c>
      <c r="B64" t="s">
        <v>43</v>
      </c>
      <c r="C64" t="s">
        <v>81</v>
      </c>
      <c r="D64" t="s">
        <v>90</v>
      </c>
    </row>
    <row r="65" spans="1:4" x14ac:dyDescent="0.3">
      <c r="A65" t="s">
        <v>198</v>
      </c>
      <c r="B65">
        <v>11</v>
      </c>
      <c r="C65">
        <v>1</v>
      </c>
      <c r="D65">
        <v>0</v>
      </c>
    </row>
    <row r="66" spans="1:4" x14ac:dyDescent="0.3">
      <c r="A66" t="s">
        <v>199</v>
      </c>
      <c r="B66">
        <v>6</v>
      </c>
      <c r="C66">
        <v>2</v>
      </c>
      <c r="D66">
        <v>1</v>
      </c>
    </row>
    <row r="67" spans="1:4" x14ac:dyDescent="0.3">
      <c r="A67" t="s">
        <v>200</v>
      </c>
      <c r="B67">
        <v>13</v>
      </c>
      <c r="C67">
        <v>27</v>
      </c>
      <c r="D67">
        <v>29</v>
      </c>
    </row>
    <row r="84" spans="1:4" x14ac:dyDescent="0.3">
      <c r="A84" t="s">
        <v>201</v>
      </c>
      <c r="B84" t="s">
        <v>43</v>
      </c>
      <c r="C84" t="s">
        <v>81</v>
      </c>
      <c r="D84" t="s">
        <v>90</v>
      </c>
    </row>
    <row r="85" spans="1:4" x14ac:dyDescent="0.3">
      <c r="A85" t="s">
        <v>151</v>
      </c>
      <c r="B85">
        <v>2535.87</v>
      </c>
      <c r="C85">
        <v>2961.7</v>
      </c>
      <c r="D85">
        <v>2708.17</v>
      </c>
    </row>
    <row r="86" spans="1:4" x14ac:dyDescent="0.3">
      <c r="A86" t="s">
        <v>152</v>
      </c>
      <c r="B86">
        <v>238.83</v>
      </c>
      <c r="C86">
        <v>335.67</v>
      </c>
      <c r="D86">
        <v>266.5</v>
      </c>
    </row>
    <row r="87" spans="1:4" x14ac:dyDescent="0.3">
      <c r="A87" t="s">
        <v>153</v>
      </c>
      <c r="B87">
        <v>49.57</v>
      </c>
      <c r="C87">
        <v>73.069999999999993</v>
      </c>
      <c r="D87">
        <v>58.57</v>
      </c>
    </row>
    <row r="88" spans="1:4" x14ac:dyDescent="0.3">
      <c r="A88" t="s">
        <v>154</v>
      </c>
      <c r="B88">
        <v>1405.33</v>
      </c>
      <c r="C88">
        <v>1133.6300000000001</v>
      </c>
      <c r="D88">
        <v>1542.03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214F-57AE-4948-BB3D-708786DE5399}">
  <dimension ref="A3:E8"/>
  <sheetViews>
    <sheetView workbookViewId="0">
      <selection activeCell="A4" sqref="A4:D7"/>
    </sheetView>
  </sheetViews>
  <sheetFormatPr defaultRowHeight="14.4" x14ac:dyDescent="0.3"/>
  <cols>
    <col min="1" max="1" width="26.77734375" bestFit="1" customWidth="1"/>
    <col min="2" max="2" width="15.5546875" bestFit="1" customWidth="1"/>
    <col min="3" max="3" width="7.44140625" bestFit="1" customWidth="1"/>
    <col min="4" max="4" width="5.5546875" bestFit="1" customWidth="1"/>
    <col min="5" max="5" width="10.77734375" bestFit="1" customWidth="1"/>
  </cols>
  <sheetData>
    <row r="3" spans="1:5" x14ac:dyDescent="0.3">
      <c r="A3" s="6" t="s">
        <v>196</v>
      </c>
      <c r="B3" s="6" t="s">
        <v>187</v>
      </c>
    </row>
    <row r="4" spans="1:5" x14ac:dyDescent="0.3">
      <c r="A4" s="6" t="s">
        <v>123</v>
      </c>
      <c r="B4" s="2" t="s">
        <v>43</v>
      </c>
      <c r="C4" s="2" t="s">
        <v>81</v>
      </c>
      <c r="D4" s="2" t="s">
        <v>90</v>
      </c>
      <c r="E4" s="2" t="s">
        <v>124</v>
      </c>
    </row>
    <row r="5" spans="1:5" x14ac:dyDescent="0.3">
      <c r="A5" s="7">
        <v>1</v>
      </c>
      <c r="B5" s="8">
        <v>11</v>
      </c>
      <c r="C5" s="8">
        <v>1</v>
      </c>
      <c r="D5" s="8"/>
      <c r="E5" s="8">
        <v>12</v>
      </c>
    </row>
    <row r="6" spans="1:5" x14ac:dyDescent="0.3">
      <c r="A6" s="7">
        <v>2</v>
      </c>
      <c r="B6" s="8">
        <v>6</v>
      </c>
      <c r="C6" s="8">
        <v>2</v>
      </c>
      <c r="D6" s="8">
        <v>1</v>
      </c>
      <c r="E6" s="8">
        <v>9</v>
      </c>
    </row>
    <row r="7" spans="1:5" x14ac:dyDescent="0.3">
      <c r="A7" s="7">
        <v>3</v>
      </c>
      <c r="B7" s="8">
        <v>13</v>
      </c>
      <c r="C7" s="8">
        <v>27</v>
      </c>
      <c r="D7" s="8">
        <v>29</v>
      </c>
      <c r="E7" s="8">
        <v>69</v>
      </c>
    </row>
    <row r="8" spans="1:5" x14ac:dyDescent="0.3">
      <c r="A8" s="7" t="s">
        <v>124</v>
      </c>
      <c r="B8" s="8">
        <v>30</v>
      </c>
      <c r="C8" s="8">
        <v>30</v>
      </c>
      <c r="D8" s="8">
        <v>30</v>
      </c>
      <c r="E8" s="8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F0E2-649F-4A2C-B2D6-ACCE947AF2BE}">
  <dimension ref="A3:E33"/>
  <sheetViews>
    <sheetView topLeftCell="A9" workbookViewId="0">
      <selection activeCell="A4" sqref="A4:E32"/>
    </sheetView>
  </sheetViews>
  <sheetFormatPr defaultRowHeight="14.4" x14ac:dyDescent="0.3"/>
  <cols>
    <col min="1" max="1" width="18.77734375" bestFit="1" customWidth="1"/>
    <col min="2" max="2" width="15.5546875" bestFit="1" customWidth="1"/>
    <col min="3" max="3" width="7.44140625" bestFit="1" customWidth="1"/>
    <col min="4" max="4" width="5.5546875" bestFit="1" customWidth="1"/>
    <col min="5" max="5" width="10.77734375" bestFit="1" customWidth="1"/>
  </cols>
  <sheetData>
    <row r="3" spans="1:5" x14ac:dyDescent="0.3">
      <c r="A3" s="6" t="s">
        <v>127</v>
      </c>
      <c r="B3" s="6" t="s">
        <v>187</v>
      </c>
    </row>
    <row r="4" spans="1:5" x14ac:dyDescent="0.3">
      <c r="A4" s="6" t="s">
        <v>123</v>
      </c>
      <c r="B4" s="2" t="s">
        <v>43</v>
      </c>
      <c r="C4" s="2" t="s">
        <v>81</v>
      </c>
      <c r="D4" s="2" t="s">
        <v>90</v>
      </c>
      <c r="E4" s="2" t="s">
        <v>124</v>
      </c>
    </row>
    <row r="5" spans="1:5" x14ac:dyDescent="0.3">
      <c r="A5" s="7">
        <v>60</v>
      </c>
      <c r="B5" s="8">
        <v>1</v>
      </c>
      <c r="C5" s="8">
        <v>2</v>
      </c>
      <c r="D5" s="8"/>
      <c r="E5" s="8">
        <v>3</v>
      </c>
    </row>
    <row r="6" spans="1:5" x14ac:dyDescent="0.3">
      <c r="A6" s="7">
        <v>62</v>
      </c>
      <c r="B6" s="8"/>
      <c r="C6" s="8"/>
      <c r="D6" s="8">
        <v>1</v>
      </c>
      <c r="E6" s="8">
        <v>1</v>
      </c>
    </row>
    <row r="7" spans="1:5" x14ac:dyDescent="0.3">
      <c r="A7" s="7">
        <v>65</v>
      </c>
      <c r="B7" s="8">
        <v>1</v>
      </c>
      <c r="C7" s="8">
        <v>1</v>
      </c>
      <c r="D7" s="8">
        <v>2</v>
      </c>
      <c r="E7" s="8">
        <v>4</v>
      </c>
    </row>
    <row r="8" spans="1:5" x14ac:dyDescent="0.3">
      <c r="A8" s="7">
        <v>66</v>
      </c>
      <c r="B8" s="8"/>
      <c r="C8" s="8"/>
      <c r="D8" s="8">
        <v>2</v>
      </c>
      <c r="E8" s="8">
        <v>2</v>
      </c>
    </row>
    <row r="9" spans="1:5" x14ac:dyDescent="0.3">
      <c r="A9" s="7">
        <v>67</v>
      </c>
      <c r="B9" s="8">
        <v>1</v>
      </c>
      <c r="C9" s="8"/>
      <c r="D9" s="8"/>
      <c r="E9" s="8">
        <v>1</v>
      </c>
    </row>
    <row r="10" spans="1:5" x14ac:dyDescent="0.3">
      <c r="A10" s="7">
        <v>68</v>
      </c>
      <c r="B10" s="8"/>
      <c r="C10" s="8">
        <v>3</v>
      </c>
      <c r="D10" s="8">
        <v>2</v>
      </c>
      <c r="E10" s="8">
        <v>5</v>
      </c>
    </row>
    <row r="11" spans="1:5" x14ac:dyDescent="0.3">
      <c r="A11" s="7">
        <v>69</v>
      </c>
      <c r="B11" s="8">
        <v>2</v>
      </c>
      <c r="C11" s="8">
        <v>2</v>
      </c>
      <c r="D11" s="8"/>
      <c r="E11" s="8">
        <v>4</v>
      </c>
    </row>
    <row r="12" spans="1:5" x14ac:dyDescent="0.3">
      <c r="A12" s="7">
        <v>70</v>
      </c>
      <c r="B12" s="8">
        <v>2</v>
      </c>
      <c r="C12" s="8">
        <v>1</v>
      </c>
      <c r="D12" s="8">
        <v>2</v>
      </c>
      <c r="E12" s="8">
        <v>5</v>
      </c>
    </row>
    <row r="13" spans="1:5" x14ac:dyDescent="0.3">
      <c r="A13" s="7">
        <v>71</v>
      </c>
      <c r="B13" s="8">
        <v>1</v>
      </c>
      <c r="C13" s="8">
        <v>1</v>
      </c>
      <c r="D13" s="8"/>
      <c r="E13" s="8">
        <v>2</v>
      </c>
    </row>
    <row r="14" spans="1:5" x14ac:dyDescent="0.3">
      <c r="A14" s="7">
        <v>72</v>
      </c>
      <c r="B14" s="8">
        <v>1</v>
      </c>
      <c r="C14" s="8">
        <v>4</v>
      </c>
      <c r="D14" s="8">
        <v>2</v>
      </c>
      <c r="E14" s="8">
        <v>7</v>
      </c>
    </row>
    <row r="15" spans="1:5" x14ac:dyDescent="0.3">
      <c r="A15" s="7">
        <v>73</v>
      </c>
      <c r="B15" s="8">
        <v>1</v>
      </c>
      <c r="C15" s="8">
        <v>2</v>
      </c>
      <c r="D15" s="8"/>
      <c r="E15" s="8">
        <v>3</v>
      </c>
    </row>
    <row r="16" spans="1:5" x14ac:dyDescent="0.3">
      <c r="A16" s="7">
        <v>74</v>
      </c>
      <c r="B16" s="8">
        <v>1</v>
      </c>
      <c r="C16" s="8">
        <v>1</v>
      </c>
      <c r="D16" s="8">
        <v>2</v>
      </c>
      <c r="E16" s="8">
        <v>4</v>
      </c>
    </row>
    <row r="17" spans="1:5" x14ac:dyDescent="0.3">
      <c r="A17" s="7">
        <v>75</v>
      </c>
      <c r="B17" s="8">
        <v>3</v>
      </c>
      <c r="C17" s="8">
        <v>2</v>
      </c>
      <c r="D17" s="8">
        <v>4</v>
      </c>
      <c r="E17" s="8">
        <v>9</v>
      </c>
    </row>
    <row r="18" spans="1:5" x14ac:dyDescent="0.3">
      <c r="A18" s="7">
        <v>76</v>
      </c>
      <c r="B18" s="8">
        <v>2</v>
      </c>
      <c r="C18" s="8">
        <v>1</v>
      </c>
      <c r="D18" s="8">
        <v>1</v>
      </c>
      <c r="E18" s="8">
        <v>4</v>
      </c>
    </row>
    <row r="19" spans="1:5" x14ac:dyDescent="0.3">
      <c r="A19" s="7">
        <v>77</v>
      </c>
      <c r="B19" s="8">
        <v>4</v>
      </c>
      <c r="C19" s="8">
        <v>1</v>
      </c>
      <c r="D19" s="8">
        <v>3</v>
      </c>
      <c r="E19" s="8">
        <v>8</v>
      </c>
    </row>
    <row r="20" spans="1:5" x14ac:dyDescent="0.3">
      <c r="A20" s="7">
        <v>78</v>
      </c>
      <c r="B20" s="8">
        <v>2</v>
      </c>
      <c r="C20" s="8">
        <v>1</v>
      </c>
      <c r="D20" s="8">
        <v>1</v>
      </c>
      <c r="E20" s="8">
        <v>4</v>
      </c>
    </row>
    <row r="21" spans="1:5" x14ac:dyDescent="0.3">
      <c r="A21" s="7">
        <v>79</v>
      </c>
      <c r="B21" s="8">
        <v>2</v>
      </c>
      <c r="C21" s="8">
        <v>1</v>
      </c>
      <c r="D21" s="8">
        <v>2</v>
      </c>
      <c r="E21" s="8">
        <v>5</v>
      </c>
    </row>
    <row r="22" spans="1:5" x14ac:dyDescent="0.3">
      <c r="A22" s="7">
        <v>80</v>
      </c>
      <c r="B22" s="8"/>
      <c r="C22" s="8">
        <v>2</v>
      </c>
      <c r="D22" s="8">
        <v>3</v>
      </c>
      <c r="E22" s="8">
        <v>5</v>
      </c>
    </row>
    <row r="23" spans="1:5" x14ac:dyDescent="0.3">
      <c r="A23" s="7">
        <v>82</v>
      </c>
      <c r="B23" s="8"/>
      <c r="C23" s="8">
        <v>1</v>
      </c>
      <c r="D23" s="8">
        <v>1</v>
      </c>
      <c r="E23" s="8">
        <v>2</v>
      </c>
    </row>
    <row r="24" spans="1:5" x14ac:dyDescent="0.3">
      <c r="A24" s="7">
        <v>83</v>
      </c>
      <c r="B24" s="8">
        <v>1</v>
      </c>
      <c r="C24" s="8">
        <v>1</v>
      </c>
      <c r="D24" s="8">
        <v>1</v>
      </c>
      <c r="E24" s="8">
        <v>3</v>
      </c>
    </row>
    <row r="25" spans="1:5" x14ac:dyDescent="0.3">
      <c r="A25" s="7">
        <v>84</v>
      </c>
      <c r="B25" s="8">
        <v>2</v>
      </c>
      <c r="C25" s="8"/>
      <c r="D25" s="8"/>
      <c r="E25" s="8">
        <v>2</v>
      </c>
    </row>
    <row r="26" spans="1:5" x14ac:dyDescent="0.3">
      <c r="A26" s="7">
        <v>85</v>
      </c>
      <c r="B26" s="8"/>
      <c r="C26" s="8">
        <v>1</v>
      </c>
      <c r="D26" s="8"/>
      <c r="E26" s="8">
        <v>1</v>
      </c>
    </row>
    <row r="27" spans="1:5" x14ac:dyDescent="0.3">
      <c r="A27" s="7">
        <v>86</v>
      </c>
      <c r="B27" s="8"/>
      <c r="C27" s="8">
        <v>1</v>
      </c>
      <c r="D27" s="8"/>
      <c r="E27" s="8">
        <v>1</v>
      </c>
    </row>
    <row r="28" spans="1:5" x14ac:dyDescent="0.3">
      <c r="A28" s="7">
        <v>92</v>
      </c>
      <c r="B28" s="8"/>
      <c r="C28" s="8"/>
      <c r="D28" s="8">
        <v>1</v>
      </c>
      <c r="E28" s="8">
        <v>1</v>
      </c>
    </row>
    <row r="29" spans="1:5" x14ac:dyDescent="0.3">
      <c r="A29" s="7">
        <v>96</v>
      </c>
      <c r="B29" s="8"/>
      <c r="C29" s="8">
        <v>1</v>
      </c>
      <c r="D29" s="8"/>
      <c r="E29" s="8">
        <v>1</v>
      </c>
    </row>
    <row r="30" spans="1:5" x14ac:dyDescent="0.3">
      <c r="A30" s="7">
        <v>98</v>
      </c>
      <c r="B30" s="8">
        <v>1</v>
      </c>
      <c r="C30" s="8"/>
      <c r="D30" s="8"/>
      <c r="E30" s="8">
        <v>1</v>
      </c>
    </row>
    <row r="31" spans="1:5" x14ac:dyDescent="0.3">
      <c r="A31" s="7">
        <v>100</v>
      </c>
      <c r="B31" s="8">
        <v>1</v>
      </c>
      <c r="C31" s="8"/>
      <c r="D31" s="8"/>
      <c r="E31" s="8">
        <v>1</v>
      </c>
    </row>
    <row r="32" spans="1:5" x14ac:dyDescent="0.3">
      <c r="A32" s="7">
        <v>101</v>
      </c>
      <c r="B32" s="8">
        <v>1</v>
      </c>
      <c r="C32" s="8"/>
      <c r="D32" s="8"/>
      <c r="E32" s="8">
        <v>1</v>
      </c>
    </row>
    <row r="33" spans="1:5" x14ac:dyDescent="0.3">
      <c r="A33" s="7" t="s">
        <v>124</v>
      </c>
      <c r="B33" s="8">
        <v>30</v>
      </c>
      <c r="C33" s="8">
        <v>30</v>
      </c>
      <c r="D33" s="8">
        <v>30</v>
      </c>
      <c r="E33" s="8">
        <v>90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08F8-C2E8-45FB-8CC6-14168C502233}">
  <dimension ref="A1:AS91"/>
  <sheetViews>
    <sheetView topLeftCell="AJ1" workbookViewId="0">
      <selection activeCell="AQ1" sqref="AQ1:AR1048576"/>
    </sheetView>
  </sheetViews>
  <sheetFormatPr defaultColWidth="14.21875" defaultRowHeight="14.4" x14ac:dyDescent="0.3"/>
  <cols>
    <col min="1" max="3" width="14.21875" style="2"/>
    <col min="5" max="5" width="14.21875" style="2"/>
    <col min="7" max="7" width="14.21875" style="2"/>
    <col min="39" max="40" width="14.21875" style="2"/>
    <col min="43" max="43" width="14.21875" style="2"/>
  </cols>
  <sheetData>
    <row r="1" spans="2:45" x14ac:dyDescent="0.3">
      <c r="B1" s="4"/>
      <c r="C1" s="4"/>
      <c r="J1" s="2" t="s">
        <v>40</v>
      </c>
      <c r="K1" t="s">
        <v>42</v>
      </c>
      <c r="L1" t="s">
        <v>19</v>
      </c>
      <c r="M1" t="s">
        <v>91</v>
      </c>
      <c r="N1" t="s">
        <v>20</v>
      </c>
      <c r="O1" t="s">
        <v>21</v>
      </c>
      <c r="P1" t="s">
        <v>22</v>
      </c>
      <c r="Q1" t="s">
        <v>23</v>
      </c>
      <c r="R1" t="s">
        <v>92</v>
      </c>
      <c r="S1" t="s">
        <v>130</v>
      </c>
      <c r="T1" t="s">
        <v>24</v>
      </c>
      <c r="U1" t="s">
        <v>25</v>
      </c>
      <c r="V1" t="s">
        <v>93</v>
      </c>
      <c r="W1" t="s">
        <v>131</v>
      </c>
      <c r="X1" t="s">
        <v>26</v>
      </c>
      <c r="Y1" t="s">
        <v>27</v>
      </c>
      <c r="Z1" t="s">
        <v>94</v>
      </c>
      <c r="AA1" t="s">
        <v>132</v>
      </c>
      <c r="AB1" t="s">
        <v>28</v>
      </c>
      <c r="AC1" t="s">
        <v>29</v>
      </c>
      <c r="AD1" t="s">
        <v>95</v>
      </c>
      <c r="AE1" t="s">
        <v>30</v>
      </c>
      <c r="AF1" t="s">
        <v>31</v>
      </c>
      <c r="AG1" t="s">
        <v>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2" t="s">
        <v>22</v>
      </c>
      <c r="AN1" s="2" t="s">
        <v>34</v>
      </c>
      <c r="AO1" t="s">
        <v>37</v>
      </c>
      <c r="AP1" t="s">
        <v>156</v>
      </c>
      <c r="AQ1" s="2" t="s">
        <v>42</v>
      </c>
      <c r="AR1" t="s">
        <v>38</v>
      </c>
      <c r="AS1" t="s">
        <v>39</v>
      </c>
    </row>
    <row r="2" spans="2:45" x14ac:dyDescent="0.3">
      <c r="J2" s="2">
        <v>1</v>
      </c>
      <c r="K2" t="s">
        <v>43</v>
      </c>
      <c r="L2">
        <v>30</v>
      </c>
      <c r="M2" t="s">
        <v>117</v>
      </c>
      <c r="N2">
        <v>98</v>
      </c>
      <c r="O2">
        <v>170</v>
      </c>
      <c r="P2">
        <v>14.7</v>
      </c>
      <c r="Q2">
        <v>14.1</v>
      </c>
      <c r="R2">
        <v>0.59999999999999964</v>
      </c>
      <c r="S2">
        <v>4.0816326530612219</v>
      </c>
      <c r="T2">
        <v>41.7</v>
      </c>
      <c r="U2">
        <v>40</v>
      </c>
      <c r="V2">
        <v>1.7000000000000028</v>
      </c>
      <c r="W2">
        <v>4.0767386091127165</v>
      </c>
      <c r="X2">
        <v>214</v>
      </c>
      <c r="Y2">
        <v>160</v>
      </c>
      <c r="Z2">
        <v>54</v>
      </c>
      <c r="AA2">
        <v>25.233644859813083</v>
      </c>
      <c r="AB2">
        <v>11.2</v>
      </c>
      <c r="AC2">
        <v>11.3</v>
      </c>
      <c r="AD2">
        <v>-0.10000000000000142</v>
      </c>
      <c r="AE2">
        <v>13.3</v>
      </c>
      <c r="AF2">
        <v>14.8</v>
      </c>
      <c r="AG2">
        <v>-1.5</v>
      </c>
      <c r="AH2">
        <v>2466</v>
      </c>
      <c r="AI2">
        <v>100</v>
      </c>
      <c r="AJ2">
        <v>47</v>
      </c>
      <c r="AK2">
        <v>241</v>
      </c>
      <c r="AL2">
        <v>1049</v>
      </c>
      <c r="AM2" s="2">
        <v>14.7</v>
      </c>
      <c r="AN2" s="2">
        <v>47</v>
      </c>
      <c r="AO2">
        <v>2.52</v>
      </c>
      <c r="AP2">
        <v>1</v>
      </c>
      <c r="AQ2" s="2" t="s">
        <v>43</v>
      </c>
      <c r="AR2">
        <v>54.7</v>
      </c>
      <c r="AS2">
        <v>5.2999999999999999E-2</v>
      </c>
    </row>
    <row r="3" spans="2:45" x14ac:dyDescent="0.3">
      <c r="J3" s="2">
        <v>2</v>
      </c>
      <c r="K3" t="s">
        <v>43</v>
      </c>
      <c r="L3">
        <v>39</v>
      </c>
      <c r="M3" t="s">
        <v>118</v>
      </c>
      <c r="N3">
        <v>84</v>
      </c>
      <c r="O3">
        <v>172</v>
      </c>
      <c r="P3">
        <v>16</v>
      </c>
      <c r="Q3">
        <v>15.5</v>
      </c>
      <c r="R3">
        <v>0.5</v>
      </c>
      <c r="S3">
        <v>3.125</v>
      </c>
      <c r="T3">
        <v>46</v>
      </c>
      <c r="U3">
        <v>44.7</v>
      </c>
      <c r="V3">
        <v>1.2999999999999972</v>
      </c>
      <c r="W3">
        <v>2.826086956521733</v>
      </c>
      <c r="X3">
        <v>263</v>
      </c>
      <c r="Y3">
        <v>190</v>
      </c>
      <c r="Z3">
        <v>73</v>
      </c>
      <c r="AA3">
        <v>27.756653992395435</v>
      </c>
      <c r="AB3">
        <v>11</v>
      </c>
      <c r="AC3">
        <v>10.7</v>
      </c>
      <c r="AD3">
        <v>0.30000000000000071</v>
      </c>
      <c r="AE3">
        <v>15</v>
      </c>
      <c r="AF3">
        <v>13.6</v>
      </c>
      <c r="AG3">
        <v>1.4000000000000004</v>
      </c>
      <c r="AH3">
        <v>2377</v>
      </c>
      <c r="AI3">
        <v>100</v>
      </c>
      <c r="AJ3">
        <v>45</v>
      </c>
      <c r="AK3">
        <v>241</v>
      </c>
      <c r="AL3">
        <v>805</v>
      </c>
      <c r="AM3" s="2">
        <v>16</v>
      </c>
      <c r="AN3" s="2">
        <v>45</v>
      </c>
      <c r="AO3">
        <v>1.94</v>
      </c>
      <c r="AP3">
        <v>1</v>
      </c>
      <c r="AQ3" s="2" t="s">
        <v>43</v>
      </c>
      <c r="AR3">
        <v>36.1</v>
      </c>
      <c r="AS3">
        <v>4.2999999999999997E-2</v>
      </c>
    </row>
    <row r="4" spans="2:45" x14ac:dyDescent="0.3">
      <c r="J4">
        <v>3</v>
      </c>
      <c r="K4" t="s">
        <v>43</v>
      </c>
      <c r="L4">
        <v>22</v>
      </c>
      <c r="M4" t="s">
        <v>119</v>
      </c>
      <c r="N4">
        <v>77</v>
      </c>
      <c r="O4">
        <v>168</v>
      </c>
      <c r="P4">
        <v>14.5</v>
      </c>
      <c r="Q4">
        <v>13.8</v>
      </c>
      <c r="R4">
        <v>0.69999999999999929</v>
      </c>
      <c r="S4">
        <v>4.8275862068965472</v>
      </c>
      <c r="T4">
        <v>41.8</v>
      </c>
      <c r="U4">
        <v>40.200000000000003</v>
      </c>
      <c r="V4">
        <v>1.5999999999999943</v>
      </c>
      <c r="W4">
        <v>3.8277511961722355</v>
      </c>
      <c r="X4">
        <v>197</v>
      </c>
      <c r="Y4">
        <v>138</v>
      </c>
      <c r="Z4">
        <v>59</v>
      </c>
      <c r="AA4">
        <v>29.949238578680205</v>
      </c>
      <c r="AB4">
        <v>12.8</v>
      </c>
      <c r="AC4">
        <v>10.7</v>
      </c>
      <c r="AD4">
        <v>2.1000000000000014</v>
      </c>
      <c r="AE4">
        <v>19.3</v>
      </c>
      <c r="AF4">
        <v>16.7</v>
      </c>
      <c r="AG4">
        <v>2.6000000000000014</v>
      </c>
      <c r="AH4">
        <v>3090</v>
      </c>
      <c r="AI4">
        <v>117</v>
      </c>
      <c r="AJ4">
        <v>61</v>
      </c>
      <c r="AK4">
        <v>237</v>
      </c>
      <c r="AL4">
        <v>886</v>
      </c>
      <c r="AM4" s="2">
        <v>14.5</v>
      </c>
      <c r="AN4" s="2">
        <v>61</v>
      </c>
      <c r="AO4">
        <v>2.09</v>
      </c>
      <c r="AP4">
        <v>1</v>
      </c>
      <c r="AQ4" s="2" t="s">
        <v>43</v>
      </c>
      <c r="AR4">
        <v>40.380000000000003</v>
      </c>
      <c r="AS4">
        <v>3.4000000000000002E-2</v>
      </c>
    </row>
    <row r="5" spans="2:45" ht="15" customHeight="1" x14ac:dyDescent="0.3">
      <c r="J5">
        <v>4</v>
      </c>
      <c r="K5" t="s">
        <v>43</v>
      </c>
      <c r="L5">
        <v>24</v>
      </c>
      <c r="M5" t="s">
        <v>119</v>
      </c>
      <c r="N5">
        <v>100</v>
      </c>
      <c r="O5" s="2">
        <v>174</v>
      </c>
      <c r="P5" s="2">
        <v>15.6</v>
      </c>
      <c r="Q5" s="2">
        <v>15.5</v>
      </c>
      <c r="R5" s="2">
        <v>9.9999999999999645E-2</v>
      </c>
      <c r="S5" s="2">
        <v>0.64102564102563875</v>
      </c>
      <c r="T5" s="2">
        <v>45.2</v>
      </c>
      <c r="U5" s="2">
        <v>45.1</v>
      </c>
      <c r="V5" s="2">
        <v>0.10000000000000142</v>
      </c>
      <c r="W5" s="2">
        <v>0.22123893805310046</v>
      </c>
      <c r="X5" s="2">
        <v>469</v>
      </c>
      <c r="Y5" s="2">
        <v>338</v>
      </c>
      <c r="Z5" s="2">
        <v>131</v>
      </c>
      <c r="AA5" s="2">
        <v>27.931769722814497</v>
      </c>
      <c r="AB5" s="2">
        <v>7.9</v>
      </c>
      <c r="AC5">
        <v>8.1999999999999993</v>
      </c>
      <c r="AD5">
        <v>-0.29999999999999893</v>
      </c>
      <c r="AE5">
        <v>8.8000000000000007</v>
      </c>
      <c r="AF5">
        <v>9.5</v>
      </c>
      <c r="AG5">
        <v>-0.69999999999999929</v>
      </c>
      <c r="AH5">
        <v>1697</v>
      </c>
      <c r="AI5">
        <v>100</v>
      </c>
      <c r="AJ5">
        <v>33</v>
      </c>
      <c r="AK5">
        <v>239</v>
      </c>
      <c r="AL5">
        <v>1200</v>
      </c>
      <c r="AM5" s="2">
        <v>15.6</v>
      </c>
      <c r="AN5" s="2">
        <v>33</v>
      </c>
      <c r="AO5">
        <v>2.86</v>
      </c>
      <c r="AP5">
        <v>1</v>
      </c>
      <c r="AQ5" s="2" t="s">
        <v>43</v>
      </c>
      <c r="AR5">
        <v>41.77</v>
      </c>
      <c r="AS5">
        <v>8.5999999999999993E-2</v>
      </c>
    </row>
    <row r="6" spans="2:45" ht="15" customHeight="1" x14ac:dyDescent="0.3">
      <c r="J6">
        <v>5</v>
      </c>
      <c r="K6" t="s">
        <v>43</v>
      </c>
      <c r="L6">
        <v>32</v>
      </c>
      <c r="M6" t="s">
        <v>117</v>
      </c>
      <c r="N6">
        <v>77</v>
      </c>
      <c r="O6" s="2">
        <v>175</v>
      </c>
      <c r="P6" s="2">
        <v>13.1</v>
      </c>
      <c r="Q6" s="2">
        <v>12.7</v>
      </c>
      <c r="R6" s="2">
        <v>0.40000000000000036</v>
      </c>
      <c r="S6" s="2">
        <v>3.0534351145038197</v>
      </c>
      <c r="T6" s="2">
        <v>41.4</v>
      </c>
      <c r="U6" s="2">
        <v>40.1</v>
      </c>
      <c r="V6" s="2">
        <v>1.2999999999999972</v>
      </c>
      <c r="W6" s="2">
        <v>3.140096618357481</v>
      </c>
      <c r="X6" s="2">
        <v>271</v>
      </c>
      <c r="Y6" s="2">
        <v>219</v>
      </c>
      <c r="Z6" s="2">
        <v>52</v>
      </c>
      <c r="AA6" s="2">
        <v>19.188191881918819</v>
      </c>
      <c r="AB6" s="2">
        <v>9.5</v>
      </c>
      <c r="AC6">
        <v>10.199999999999999</v>
      </c>
      <c r="AD6">
        <v>-0.69999999999999929</v>
      </c>
      <c r="AE6">
        <v>10.7</v>
      </c>
      <c r="AF6">
        <v>12.3</v>
      </c>
      <c r="AG6">
        <v>-1.6000000000000014</v>
      </c>
      <c r="AH6">
        <v>2257</v>
      </c>
      <c r="AI6">
        <v>66</v>
      </c>
      <c r="AJ6">
        <v>41</v>
      </c>
      <c r="AK6">
        <v>241</v>
      </c>
      <c r="AL6">
        <v>1000</v>
      </c>
      <c r="AM6" s="2">
        <v>13.1</v>
      </c>
      <c r="AN6" s="2">
        <v>41</v>
      </c>
      <c r="AO6">
        <v>2.41</v>
      </c>
      <c r="AP6">
        <v>1</v>
      </c>
      <c r="AQ6" s="2" t="s">
        <v>43</v>
      </c>
      <c r="AR6">
        <v>43.58</v>
      </c>
      <c r="AS6">
        <v>5.8000000000000003E-2</v>
      </c>
    </row>
    <row r="7" spans="2:45" x14ac:dyDescent="0.3">
      <c r="J7">
        <v>6</v>
      </c>
      <c r="K7" t="s">
        <v>43</v>
      </c>
      <c r="L7">
        <v>30</v>
      </c>
      <c r="M7" t="s">
        <v>117</v>
      </c>
      <c r="N7">
        <v>77</v>
      </c>
      <c r="O7" s="2">
        <v>174</v>
      </c>
      <c r="P7" s="2">
        <v>12.9</v>
      </c>
      <c r="Q7" s="2">
        <v>12.1</v>
      </c>
      <c r="R7" s="2">
        <v>0.80000000000000071</v>
      </c>
      <c r="S7" s="2">
        <v>6.2015503875969049</v>
      </c>
      <c r="T7" s="2">
        <v>41.6</v>
      </c>
      <c r="U7" s="2">
        <v>38</v>
      </c>
      <c r="V7" s="2">
        <v>3.6000000000000014</v>
      </c>
      <c r="W7" s="2">
        <v>8.6538461538461569</v>
      </c>
      <c r="X7" s="2">
        <v>234</v>
      </c>
      <c r="Y7" s="2">
        <v>170</v>
      </c>
      <c r="Z7" s="2">
        <v>64</v>
      </c>
      <c r="AA7" s="2">
        <v>27.350427350427353</v>
      </c>
      <c r="AB7" s="2">
        <v>10.8</v>
      </c>
      <c r="AC7">
        <v>11</v>
      </c>
      <c r="AD7">
        <v>-0.19999999999999929</v>
      </c>
      <c r="AE7">
        <v>13.2</v>
      </c>
      <c r="AF7">
        <v>13.6</v>
      </c>
      <c r="AG7">
        <v>-0.40000000000000036</v>
      </c>
      <c r="AH7">
        <v>2661</v>
      </c>
      <c r="AI7">
        <v>110</v>
      </c>
      <c r="AJ7">
        <v>49</v>
      </c>
      <c r="AK7">
        <v>240</v>
      </c>
      <c r="AL7">
        <v>1780</v>
      </c>
      <c r="AM7" s="2">
        <v>12.9</v>
      </c>
      <c r="AN7" s="2">
        <v>49</v>
      </c>
      <c r="AO7">
        <v>4.2699999999999996</v>
      </c>
      <c r="AP7">
        <v>3</v>
      </c>
      <c r="AQ7" s="2" t="s">
        <v>43</v>
      </c>
      <c r="AR7">
        <v>79.44</v>
      </c>
      <c r="AS7">
        <v>8.6999999999999994E-2</v>
      </c>
    </row>
    <row r="8" spans="2:45" x14ac:dyDescent="0.3">
      <c r="J8">
        <v>7</v>
      </c>
      <c r="K8" t="s">
        <v>43</v>
      </c>
      <c r="L8">
        <v>30</v>
      </c>
      <c r="M8" t="s">
        <v>117</v>
      </c>
      <c r="N8">
        <v>67</v>
      </c>
      <c r="O8" s="2">
        <v>170</v>
      </c>
      <c r="P8" s="2">
        <v>14.3</v>
      </c>
      <c r="Q8" s="2">
        <v>13.9</v>
      </c>
      <c r="R8" s="2">
        <v>0.40000000000000036</v>
      </c>
      <c r="S8" s="2">
        <v>2.7972027972027997</v>
      </c>
      <c r="T8" s="2">
        <v>45</v>
      </c>
      <c r="U8" s="2">
        <v>43.5</v>
      </c>
      <c r="V8" s="2">
        <v>1.5</v>
      </c>
      <c r="W8" s="2">
        <v>3.3333333333333335</v>
      </c>
      <c r="X8" s="2">
        <v>236</v>
      </c>
      <c r="Y8" s="2">
        <v>183</v>
      </c>
      <c r="Z8" s="2">
        <v>53</v>
      </c>
      <c r="AA8" s="2">
        <v>22.457627118644069</v>
      </c>
      <c r="AB8" s="2">
        <v>11.2</v>
      </c>
      <c r="AC8">
        <v>11.4</v>
      </c>
      <c r="AD8">
        <v>-0.20000000000000107</v>
      </c>
      <c r="AE8">
        <v>13.6</v>
      </c>
      <c r="AF8">
        <v>14.6</v>
      </c>
      <c r="AG8">
        <v>-1</v>
      </c>
      <c r="AH8">
        <v>2660</v>
      </c>
      <c r="AI8">
        <v>90</v>
      </c>
      <c r="AJ8">
        <v>66</v>
      </c>
      <c r="AK8">
        <v>241</v>
      </c>
      <c r="AL8">
        <v>800</v>
      </c>
      <c r="AM8" s="2">
        <v>14.3</v>
      </c>
      <c r="AN8" s="2">
        <v>66</v>
      </c>
      <c r="AO8">
        <v>1.92</v>
      </c>
      <c r="AP8">
        <v>1</v>
      </c>
      <c r="AQ8" s="2" t="s">
        <v>43</v>
      </c>
      <c r="AR8">
        <v>34.549999999999997</v>
      </c>
      <c r="AS8">
        <v>2.9000000000000001E-2</v>
      </c>
    </row>
    <row r="9" spans="2:45" x14ac:dyDescent="0.3">
      <c r="J9">
        <v>8</v>
      </c>
      <c r="K9" t="s">
        <v>43</v>
      </c>
      <c r="L9">
        <v>24</v>
      </c>
      <c r="M9" t="s">
        <v>119</v>
      </c>
      <c r="N9">
        <v>74</v>
      </c>
      <c r="O9" s="2">
        <v>170</v>
      </c>
      <c r="P9" s="2">
        <v>13.9</v>
      </c>
      <c r="Q9" s="2">
        <v>13.4</v>
      </c>
      <c r="R9" s="2">
        <v>0.5</v>
      </c>
      <c r="S9" s="2">
        <v>3.5971223021582732</v>
      </c>
      <c r="T9" s="2">
        <v>43.4</v>
      </c>
      <c r="U9" s="2">
        <v>41</v>
      </c>
      <c r="V9" s="2">
        <v>2.3999999999999986</v>
      </c>
      <c r="W9" s="2">
        <v>5.5299539170506877</v>
      </c>
      <c r="X9" s="2">
        <v>216</v>
      </c>
      <c r="Y9" s="2">
        <v>140</v>
      </c>
      <c r="Z9" s="2">
        <v>76</v>
      </c>
      <c r="AA9" s="2">
        <v>35.185185185185183</v>
      </c>
      <c r="AB9" s="2">
        <v>12.1</v>
      </c>
      <c r="AC9">
        <v>12.6</v>
      </c>
      <c r="AD9">
        <v>-0.5</v>
      </c>
      <c r="AE9">
        <v>15.2</v>
      </c>
      <c r="AF9">
        <v>18.2</v>
      </c>
      <c r="AG9">
        <v>-3</v>
      </c>
      <c r="AH9">
        <v>2826</v>
      </c>
      <c r="AI9">
        <v>117</v>
      </c>
      <c r="AJ9">
        <v>53</v>
      </c>
      <c r="AK9">
        <v>241</v>
      </c>
      <c r="AL9">
        <v>1167</v>
      </c>
      <c r="AM9" s="2">
        <v>13.9</v>
      </c>
      <c r="AN9" s="2">
        <v>53</v>
      </c>
      <c r="AO9">
        <v>2.81</v>
      </c>
      <c r="AP9">
        <v>1</v>
      </c>
      <c r="AQ9" s="2" t="s">
        <v>43</v>
      </c>
      <c r="AR9">
        <v>55.86</v>
      </c>
      <c r="AS9">
        <v>5.2999999999999999E-2</v>
      </c>
    </row>
    <row r="10" spans="2:45" x14ac:dyDescent="0.3">
      <c r="J10">
        <v>9</v>
      </c>
      <c r="K10" t="s">
        <v>43</v>
      </c>
      <c r="L10">
        <v>22</v>
      </c>
      <c r="M10" t="s">
        <v>119</v>
      </c>
      <c r="N10">
        <v>65</v>
      </c>
      <c r="O10" s="2">
        <v>172</v>
      </c>
      <c r="P10" s="2">
        <v>13.8</v>
      </c>
      <c r="Q10" s="2">
        <v>13.7</v>
      </c>
      <c r="R10" s="2">
        <v>0.10000000000000142</v>
      </c>
      <c r="S10" s="2">
        <v>0.7246376811594305</v>
      </c>
      <c r="T10" s="2">
        <v>44.4</v>
      </c>
      <c r="U10" s="2">
        <v>43.8</v>
      </c>
      <c r="V10" s="2">
        <v>0.60000000000000142</v>
      </c>
      <c r="W10" s="2">
        <v>1.3513513513513546</v>
      </c>
      <c r="X10" s="2">
        <v>247</v>
      </c>
      <c r="Y10" s="2">
        <v>173</v>
      </c>
      <c r="Z10" s="2">
        <v>74</v>
      </c>
      <c r="AA10" s="2">
        <v>29.959514170040485</v>
      </c>
      <c r="AB10" s="2">
        <v>12</v>
      </c>
      <c r="AC10">
        <v>12.4</v>
      </c>
      <c r="AD10">
        <v>-0.40000000000000036</v>
      </c>
      <c r="AE10">
        <v>14.8</v>
      </c>
      <c r="AF10">
        <v>16.7</v>
      </c>
      <c r="AG10">
        <v>-1.8999999999999986</v>
      </c>
      <c r="AH10">
        <v>2651</v>
      </c>
      <c r="AI10">
        <v>100</v>
      </c>
      <c r="AJ10">
        <v>56</v>
      </c>
      <c r="AK10">
        <v>242</v>
      </c>
      <c r="AL10">
        <v>869</v>
      </c>
      <c r="AM10" s="2">
        <v>13.8</v>
      </c>
      <c r="AN10" s="2">
        <v>56</v>
      </c>
      <c r="AO10">
        <v>2.1</v>
      </c>
      <c r="AP10">
        <v>1</v>
      </c>
      <c r="AQ10" s="2" t="s">
        <v>43</v>
      </c>
      <c r="AR10">
        <v>37.72</v>
      </c>
      <c r="AS10">
        <v>3.6999999999999998E-2</v>
      </c>
    </row>
    <row r="11" spans="2:45" x14ac:dyDescent="0.3">
      <c r="J11">
        <v>10</v>
      </c>
      <c r="K11" t="s">
        <v>43</v>
      </c>
      <c r="L11">
        <v>35</v>
      </c>
      <c r="M11" t="s">
        <v>118</v>
      </c>
      <c r="N11">
        <v>101</v>
      </c>
      <c r="O11" s="2">
        <v>180</v>
      </c>
      <c r="P11" s="2">
        <v>15.4</v>
      </c>
      <c r="Q11" s="2">
        <v>14.8</v>
      </c>
      <c r="R11" s="2">
        <v>0.59999999999999964</v>
      </c>
      <c r="S11" s="2">
        <v>3.8961038961038938</v>
      </c>
      <c r="T11" s="2">
        <v>48.8</v>
      </c>
      <c r="U11" s="2">
        <v>46.4</v>
      </c>
      <c r="V11" s="2">
        <v>2.3999999999999986</v>
      </c>
      <c r="W11" s="2">
        <v>4.9180327868852434</v>
      </c>
      <c r="X11" s="2">
        <v>376</v>
      </c>
      <c r="Y11" s="2">
        <v>308</v>
      </c>
      <c r="Z11" s="2">
        <v>68</v>
      </c>
      <c r="AA11" s="2">
        <v>18.085106382978726</v>
      </c>
      <c r="AB11" s="2">
        <v>9.9</v>
      </c>
      <c r="AC11">
        <v>10.3</v>
      </c>
      <c r="AD11">
        <v>-0.40000000000000036</v>
      </c>
      <c r="AE11">
        <v>11.4</v>
      </c>
      <c r="AF11">
        <v>11.2</v>
      </c>
      <c r="AG11">
        <v>0.20000000000000107</v>
      </c>
      <c r="AH11">
        <v>1953</v>
      </c>
      <c r="AI11">
        <v>103</v>
      </c>
      <c r="AJ11">
        <v>42</v>
      </c>
      <c r="AK11">
        <v>237</v>
      </c>
      <c r="AL11">
        <v>1865</v>
      </c>
      <c r="AM11" s="2">
        <v>15.4</v>
      </c>
      <c r="AN11" s="2">
        <v>42</v>
      </c>
      <c r="AO11">
        <v>4.42</v>
      </c>
      <c r="AP11">
        <v>3</v>
      </c>
      <c r="AQ11" s="2" t="s">
        <v>43</v>
      </c>
      <c r="AR11">
        <v>66.180000000000007</v>
      </c>
      <c r="AS11">
        <v>0.1</v>
      </c>
    </row>
    <row r="12" spans="2:45" x14ac:dyDescent="0.3">
      <c r="J12">
        <v>11</v>
      </c>
      <c r="K12" t="s">
        <v>43</v>
      </c>
      <c r="L12">
        <v>24</v>
      </c>
      <c r="M12" t="s">
        <v>119</v>
      </c>
      <c r="N12">
        <v>72</v>
      </c>
      <c r="O12" s="2">
        <v>170</v>
      </c>
      <c r="P12" s="2">
        <v>14</v>
      </c>
      <c r="Q12" s="2">
        <v>13.4</v>
      </c>
      <c r="R12" s="2">
        <v>0.59999999999999964</v>
      </c>
      <c r="S12" s="2">
        <v>4.2857142857142829</v>
      </c>
      <c r="T12" s="2">
        <v>44.8</v>
      </c>
      <c r="U12" s="2">
        <v>43</v>
      </c>
      <c r="V12" s="2">
        <v>1.7999999999999972</v>
      </c>
      <c r="W12" s="2">
        <v>4.017857142857137</v>
      </c>
      <c r="X12" s="2">
        <v>284</v>
      </c>
      <c r="Y12" s="2">
        <v>233</v>
      </c>
      <c r="Z12" s="2">
        <v>51</v>
      </c>
      <c r="AA12" s="2">
        <v>17.95774647887324</v>
      </c>
      <c r="AB12" s="2">
        <v>9.6999999999999993</v>
      </c>
      <c r="AC12">
        <v>10.8</v>
      </c>
      <c r="AD12">
        <v>-1.1000000000000014</v>
      </c>
      <c r="AE12">
        <v>10.8</v>
      </c>
      <c r="AF12">
        <v>13.7</v>
      </c>
      <c r="AG12">
        <v>-2.8999999999999986</v>
      </c>
      <c r="AH12">
        <v>2273</v>
      </c>
      <c r="AI12">
        <v>129</v>
      </c>
      <c r="AJ12">
        <v>41</v>
      </c>
      <c r="AK12">
        <v>238</v>
      </c>
      <c r="AL12">
        <v>1493</v>
      </c>
      <c r="AM12" s="2">
        <v>14</v>
      </c>
      <c r="AN12" s="2">
        <v>41</v>
      </c>
      <c r="AO12">
        <v>3.55</v>
      </c>
      <c r="AP12">
        <v>3</v>
      </c>
      <c r="AQ12" s="2" t="s">
        <v>43</v>
      </c>
      <c r="AR12">
        <v>60.42</v>
      </c>
      <c r="AS12">
        <v>8.5999999999999993E-2</v>
      </c>
    </row>
    <row r="13" spans="2:45" x14ac:dyDescent="0.3">
      <c r="J13">
        <v>12</v>
      </c>
      <c r="K13" t="s">
        <v>43</v>
      </c>
      <c r="L13">
        <v>32</v>
      </c>
      <c r="M13" t="s">
        <v>117</v>
      </c>
      <c r="N13">
        <v>79</v>
      </c>
      <c r="O13" s="2">
        <v>175</v>
      </c>
      <c r="P13" s="2">
        <v>15.6</v>
      </c>
      <c r="Q13" s="2">
        <v>15.2</v>
      </c>
      <c r="R13" s="2">
        <v>0.40000000000000036</v>
      </c>
      <c r="S13" s="2">
        <v>2.5641025641025665</v>
      </c>
      <c r="T13" s="2">
        <v>48.7</v>
      </c>
      <c r="U13" s="2">
        <v>47</v>
      </c>
      <c r="V13" s="2">
        <v>1.7000000000000028</v>
      </c>
      <c r="W13" s="2">
        <v>3.4907597535934349</v>
      </c>
      <c r="X13" s="2">
        <v>275</v>
      </c>
      <c r="Y13" s="2">
        <v>232</v>
      </c>
      <c r="Z13" s="2">
        <v>43</v>
      </c>
      <c r="AA13" s="2">
        <v>15.636363636363637</v>
      </c>
      <c r="AB13" s="2">
        <v>9.5</v>
      </c>
      <c r="AC13">
        <v>9.6999999999999993</v>
      </c>
      <c r="AD13">
        <v>-0.19999999999999929</v>
      </c>
      <c r="AE13">
        <v>10.199999999999999</v>
      </c>
      <c r="AF13">
        <v>10.3</v>
      </c>
      <c r="AG13">
        <v>-0.10000000000000142</v>
      </c>
      <c r="AH13">
        <v>2447</v>
      </c>
      <c r="AI13">
        <v>127</v>
      </c>
      <c r="AJ13">
        <v>46</v>
      </c>
      <c r="AK13">
        <v>236</v>
      </c>
      <c r="AL13">
        <v>2113</v>
      </c>
      <c r="AM13" s="2">
        <v>15.6</v>
      </c>
      <c r="AN13" s="2">
        <v>46</v>
      </c>
      <c r="AO13">
        <v>4.9800000000000004</v>
      </c>
      <c r="AP13">
        <v>3</v>
      </c>
      <c r="AQ13" s="2" t="s">
        <v>43</v>
      </c>
      <c r="AR13">
        <v>80.28</v>
      </c>
      <c r="AS13">
        <v>0.1</v>
      </c>
    </row>
    <row r="14" spans="2:45" x14ac:dyDescent="0.3">
      <c r="J14">
        <v>13</v>
      </c>
      <c r="K14" t="s">
        <v>43</v>
      </c>
      <c r="L14">
        <v>27</v>
      </c>
      <c r="M14" t="s">
        <v>120</v>
      </c>
      <c r="N14">
        <v>75</v>
      </c>
      <c r="O14">
        <v>174</v>
      </c>
      <c r="P14">
        <v>16.3</v>
      </c>
      <c r="Q14">
        <v>15.6</v>
      </c>
      <c r="R14">
        <v>0.70000000000000107</v>
      </c>
      <c r="S14">
        <v>4.2944785276073683</v>
      </c>
      <c r="T14">
        <v>49.4</v>
      </c>
      <c r="U14">
        <v>47.1</v>
      </c>
      <c r="V14">
        <v>2.2999999999999972</v>
      </c>
      <c r="W14">
        <v>4.6558704453441244</v>
      </c>
      <c r="X14">
        <v>312</v>
      </c>
      <c r="Y14">
        <v>226</v>
      </c>
      <c r="Z14">
        <v>86</v>
      </c>
      <c r="AA14">
        <v>27.564102564102566</v>
      </c>
      <c r="AB14">
        <v>9.3000000000000007</v>
      </c>
      <c r="AC14">
        <v>9.6</v>
      </c>
      <c r="AD14">
        <v>-0.29999999999999893</v>
      </c>
      <c r="AE14">
        <v>10.7</v>
      </c>
      <c r="AF14">
        <v>11.8</v>
      </c>
      <c r="AG14">
        <v>-1.1000000000000014</v>
      </c>
      <c r="AH14">
        <v>2216</v>
      </c>
      <c r="AI14">
        <v>129</v>
      </c>
      <c r="AJ14">
        <v>40</v>
      </c>
      <c r="AK14">
        <v>239</v>
      </c>
      <c r="AL14">
        <v>1963</v>
      </c>
      <c r="AM14" s="2">
        <v>16.3</v>
      </c>
      <c r="AN14" s="2">
        <v>40</v>
      </c>
      <c r="AO14">
        <v>4.7300000000000004</v>
      </c>
      <c r="AP14">
        <v>3</v>
      </c>
      <c r="AQ14" s="2" t="s">
        <v>43</v>
      </c>
      <c r="AR14">
        <v>79.349999999999994</v>
      </c>
      <c r="AS14">
        <v>0.11</v>
      </c>
    </row>
    <row r="15" spans="2:45" x14ac:dyDescent="0.3">
      <c r="J15">
        <v>14</v>
      </c>
      <c r="K15" t="s">
        <v>43</v>
      </c>
      <c r="L15">
        <v>25</v>
      </c>
      <c r="M15" t="s">
        <v>120</v>
      </c>
      <c r="N15">
        <v>78</v>
      </c>
      <c r="O15">
        <v>178</v>
      </c>
      <c r="P15">
        <v>13.7</v>
      </c>
      <c r="Q15">
        <v>13.1</v>
      </c>
      <c r="R15">
        <v>0.59999999999999964</v>
      </c>
      <c r="S15">
        <v>4.3795620437956178</v>
      </c>
      <c r="T15">
        <v>38.1</v>
      </c>
      <c r="U15">
        <v>36.4</v>
      </c>
      <c r="V15">
        <v>1.7000000000000028</v>
      </c>
      <c r="W15">
        <v>4.4619422572178555</v>
      </c>
      <c r="X15">
        <v>313</v>
      </c>
      <c r="Y15">
        <v>232</v>
      </c>
      <c r="Z15">
        <v>81</v>
      </c>
      <c r="AA15">
        <v>25.878594249201274</v>
      </c>
      <c r="AB15">
        <v>10.9</v>
      </c>
      <c r="AC15">
        <v>11</v>
      </c>
      <c r="AD15">
        <v>-9.9999999999999645E-2</v>
      </c>
      <c r="AE15">
        <v>14.6</v>
      </c>
      <c r="AF15">
        <v>15.4</v>
      </c>
      <c r="AG15">
        <v>-0.80000000000000071</v>
      </c>
      <c r="AH15">
        <v>2074</v>
      </c>
      <c r="AI15">
        <v>119</v>
      </c>
      <c r="AJ15">
        <v>41</v>
      </c>
      <c r="AK15">
        <v>240</v>
      </c>
      <c r="AL15">
        <v>778</v>
      </c>
      <c r="AM15" s="2">
        <v>13.7</v>
      </c>
      <c r="AN15" s="2">
        <v>41</v>
      </c>
      <c r="AO15">
        <v>2.1</v>
      </c>
      <c r="AP15">
        <v>1</v>
      </c>
      <c r="AQ15" s="2" t="s">
        <v>43</v>
      </c>
      <c r="AR15">
        <v>37.159999999999997</v>
      </c>
      <c r="AS15">
        <v>5.0999999999999997E-2</v>
      </c>
    </row>
    <row r="16" spans="2:45" x14ac:dyDescent="0.3">
      <c r="J16">
        <v>15</v>
      </c>
      <c r="K16" t="s">
        <v>43</v>
      </c>
      <c r="L16">
        <v>35</v>
      </c>
      <c r="M16" t="s">
        <v>118</v>
      </c>
      <c r="N16">
        <v>75</v>
      </c>
      <c r="O16">
        <v>175</v>
      </c>
      <c r="P16">
        <v>14.3</v>
      </c>
      <c r="Q16">
        <v>14</v>
      </c>
      <c r="R16">
        <v>0.30000000000000071</v>
      </c>
      <c r="S16">
        <v>2.0979020979021028</v>
      </c>
      <c r="T16">
        <v>43.1</v>
      </c>
      <c r="U16">
        <v>42.5</v>
      </c>
      <c r="V16">
        <v>0.60000000000000142</v>
      </c>
      <c r="W16">
        <v>1.3921113689095159</v>
      </c>
      <c r="X16">
        <v>191</v>
      </c>
      <c r="Y16">
        <v>129</v>
      </c>
      <c r="Z16">
        <v>62</v>
      </c>
      <c r="AA16">
        <v>32.460732984293195</v>
      </c>
      <c r="AB16">
        <v>11</v>
      </c>
      <c r="AC16">
        <v>11</v>
      </c>
      <c r="AD16">
        <v>0</v>
      </c>
      <c r="AE16">
        <v>14.2</v>
      </c>
      <c r="AF16">
        <v>15.3</v>
      </c>
      <c r="AG16">
        <v>-1.1000000000000014</v>
      </c>
      <c r="AH16">
        <v>3243</v>
      </c>
      <c r="AI16">
        <v>100</v>
      </c>
      <c r="AJ16">
        <v>63</v>
      </c>
      <c r="AK16">
        <v>238</v>
      </c>
      <c r="AL16">
        <v>1834</v>
      </c>
      <c r="AM16" s="2">
        <v>14.3</v>
      </c>
      <c r="AN16" s="2">
        <v>63</v>
      </c>
      <c r="AO16">
        <v>4.3600000000000003</v>
      </c>
      <c r="AP16">
        <v>3</v>
      </c>
      <c r="AQ16" s="2" t="s">
        <v>43</v>
      </c>
      <c r="AR16">
        <v>84.03</v>
      </c>
      <c r="AS16">
        <v>6.9000000000000006E-2</v>
      </c>
    </row>
    <row r="17" spans="10:45" x14ac:dyDescent="0.3">
      <c r="J17">
        <v>16</v>
      </c>
      <c r="K17" t="s">
        <v>43</v>
      </c>
      <c r="L17">
        <v>43</v>
      </c>
      <c r="M17" t="s">
        <v>121</v>
      </c>
      <c r="N17">
        <v>84</v>
      </c>
      <c r="O17">
        <v>177</v>
      </c>
      <c r="P17">
        <v>16</v>
      </c>
      <c r="Q17">
        <v>15.4</v>
      </c>
      <c r="R17">
        <v>0.59999999999999964</v>
      </c>
      <c r="S17">
        <v>3.7499999999999978</v>
      </c>
      <c r="T17">
        <v>45.2</v>
      </c>
      <c r="U17">
        <v>43.4</v>
      </c>
      <c r="V17">
        <v>1.8000000000000043</v>
      </c>
      <c r="W17">
        <v>3.9823008849557611</v>
      </c>
      <c r="X17">
        <v>313</v>
      </c>
      <c r="Y17">
        <v>228</v>
      </c>
      <c r="Z17">
        <v>85</v>
      </c>
      <c r="AA17">
        <v>27.15654952076677</v>
      </c>
      <c r="AB17">
        <v>8.9</v>
      </c>
      <c r="AC17">
        <v>9.5</v>
      </c>
      <c r="AD17">
        <v>-0.59999999999999964</v>
      </c>
      <c r="AE17">
        <v>10.8</v>
      </c>
      <c r="AF17">
        <v>10.6</v>
      </c>
      <c r="AG17">
        <v>0.20000000000000107</v>
      </c>
      <c r="AH17">
        <v>2091</v>
      </c>
      <c r="AI17">
        <v>97</v>
      </c>
      <c r="AJ17">
        <v>47</v>
      </c>
      <c r="AK17">
        <v>242</v>
      </c>
      <c r="AL17">
        <v>944</v>
      </c>
      <c r="AM17" s="2">
        <v>16</v>
      </c>
      <c r="AN17" s="2">
        <v>47</v>
      </c>
      <c r="AO17">
        <v>2.2799999999999998</v>
      </c>
      <c r="AP17">
        <v>1</v>
      </c>
      <c r="AQ17" s="2" t="s">
        <v>43</v>
      </c>
      <c r="AR17">
        <v>40.31</v>
      </c>
      <c r="AS17">
        <v>4.8000000000000001E-2</v>
      </c>
    </row>
    <row r="18" spans="10:45" x14ac:dyDescent="0.3">
      <c r="J18">
        <v>17</v>
      </c>
      <c r="K18" t="s">
        <v>43</v>
      </c>
      <c r="L18">
        <v>25</v>
      </c>
      <c r="M18" t="s">
        <v>120</v>
      </c>
      <c r="N18">
        <v>73</v>
      </c>
      <c r="O18">
        <v>175</v>
      </c>
      <c r="P18">
        <v>14.3</v>
      </c>
      <c r="Q18">
        <v>14.1</v>
      </c>
      <c r="R18">
        <v>0.20000000000000107</v>
      </c>
      <c r="S18">
        <v>1.3986013986014061</v>
      </c>
      <c r="T18">
        <v>41.5</v>
      </c>
      <c r="U18">
        <v>40.799999999999997</v>
      </c>
      <c r="V18">
        <v>0.70000000000000284</v>
      </c>
      <c r="W18">
        <v>1.6867469879518142</v>
      </c>
      <c r="X18">
        <v>241</v>
      </c>
      <c r="Y18">
        <v>155</v>
      </c>
      <c r="Z18">
        <v>86</v>
      </c>
      <c r="AA18">
        <v>35.684647302904565</v>
      </c>
      <c r="AB18">
        <v>11.2</v>
      </c>
      <c r="AC18">
        <v>10.9</v>
      </c>
      <c r="AD18">
        <v>0.29999999999999893</v>
      </c>
      <c r="AE18">
        <v>15.2</v>
      </c>
      <c r="AF18">
        <v>14.6</v>
      </c>
      <c r="AG18">
        <v>0.59999999999999964</v>
      </c>
      <c r="AH18">
        <v>2420</v>
      </c>
      <c r="AI18">
        <v>96</v>
      </c>
      <c r="AJ18">
        <v>61</v>
      </c>
      <c r="AK18">
        <v>239</v>
      </c>
      <c r="AL18">
        <v>1131</v>
      </c>
      <c r="AM18" s="2">
        <v>14.3</v>
      </c>
      <c r="AN18" s="2">
        <v>61</v>
      </c>
      <c r="AO18">
        <v>2.7</v>
      </c>
      <c r="AP18">
        <v>1</v>
      </c>
      <c r="AQ18" s="2" t="s">
        <v>43</v>
      </c>
      <c r="AR18">
        <v>56.35</v>
      </c>
      <c r="AS18">
        <v>4.3999999999999997E-2</v>
      </c>
    </row>
    <row r="19" spans="10:45" x14ac:dyDescent="0.3">
      <c r="J19">
        <v>18</v>
      </c>
      <c r="K19" t="s">
        <v>43</v>
      </c>
      <c r="L19">
        <v>28</v>
      </c>
      <c r="M19" t="s">
        <v>120</v>
      </c>
      <c r="N19">
        <v>60</v>
      </c>
      <c r="O19">
        <v>160</v>
      </c>
      <c r="P19">
        <v>15.1</v>
      </c>
      <c r="Q19">
        <v>14.2</v>
      </c>
      <c r="R19">
        <v>0.90000000000000036</v>
      </c>
      <c r="S19">
        <v>5.9602649006622546</v>
      </c>
      <c r="T19">
        <v>45.4</v>
      </c>
      <c r="U19">
        <v>42</v>
      </c>
      <c r="V19">
        <v>3.3999999999999986</v>
      </c>
      <c r="W19">
        <v>7.4889867841409661</v>
      </c>
      <c r="X19">
        <v>243</v>
      </c>
      <c r="Y19">
        <v>169</v>
      </c>
      <c r="Z19">
        <v>74</v>
      </c>
      <c r="AA19">
        <v>30.452674897119341</v>
      </c>
      <c r="AB19">
        <v>10</v>
      </c>
      <c r="AC19">
        <v>10.5</v>
      </c>
      <c r="AD19">
        <v>-0.5</v>
      </c>
      <c r="AE19">
        <v>12.4</v>
      </c>
      <c r="AF19">
        <v>14</v>
      </c>
      <c r="AG19">
        <v>-1.5999999999999996</v>
      </c>
      <c r="AH19">
        <v>2681</v>
      </c>
      <c r="AI19">
        <v>100</v>
      </c>
      <c r="AJ19">
        <v>60</v>
      </c>
      <c r="AK19">
        <v>242</v>
      </c>
      <c r="AL19">
        <v>1279</v>
      </c>
      <c r="AM19" s="2">
        <v>15.1</v>
      </c>
      <c r="AN19" s="2">
        <v>60</v>
      </c>
      <c r="AO19">
        <v>3.09</v>
      </c>
      <c r="AP19">
        <v>2</v>
      </c>
      <c r="AQ19" s="2" t="s">
        <v>43</v>
      </c>
      <c r="AR19">
        <v>55.94</v>
      </c>
      <c r="AS19">
        <v>5.0999999999999997E-2</v>
      </c>
    </row>
    <row r="20" spans="10:45" x14ac:dyDescent="0.3">
      <c r="J20">
        <v>19</v>
      </c>
      <c r="K20" t="s">
        <v>43</v>
      </c>
      <c r="L20">
        <v>40</v>
      </c>
      <c r="M20" t="s">
        <v>121</v>
      </c>
      <c r="N20">
        <v>69</v>
      </c>
      <c r="O20">
        <v>173</v>
      </c>
      <c r="P20">
        <v>14.1</v>
      </c>
      <c r="Q20">
        <v>13.4</v>
      </c>
      <c r="R20">
        <v>0.69999999999999929</v>
      </c>
      <c r="S20">
        <v>4.9645390070921938</v>
      </c>
      <c r="T20">
        <v>39.299999999999997</v>
      </c>
      <c r="U20">
        <v>37.299999999999997</v>
      </c>
      <c r="V20">
        <v>2</v>
      </c>
      <c r="W20">
        <v>5.0890585241730282</v>
      </c>
      <c r="X20">
        <v>219</v>
      </c>
      <c r="Y20">
        <v>131</v>
      </c>
      <c r="Z20">
        <v>88</v>
      </c>
      <c r="AA20">
        <v>40.182648401826484</v>
      </c>
      <c r="AB20">
        <v>11.1</v>
      </c>
      <c r="AC20">
        <v>11.3</v>
      </c>
      <c r="AD20">
        <v>-0.20000000000000107</v>
      </c>
      <c r="AE20">
        <v>14.4</v>
      </c>
      <c r="AF20">
        <v>15.1</v>
      </c>
      <c r="AG20">
        <v>-0.69999999999999929</v>
      </c>
      <c r="AH20">
        <v>2939</v>
      </c>
      <c r="AI20">
        <v>104</v>
      </c>
      <c r="AJ20">
        <v>39</v>
      </c>
      <c r="AK20">
        <v>236</v>
      </c>
      <c r="AL20">
        <v>2200</v>
      </c>
      <c r="AM20" s="2">
        <v>14.1</v>
      </c>
      <c r="AN20" s="2">
        <v>39</v>
      </c>
      <c r="AO20">
        <v>5.19</v>
      </c>
      <c r="AP20">
        <v>3</v>
      </c>
      <c r="AQ20" s="2" t="s">
        <v>43</v>
      </c>
      <c r="AR20">
        <v>100</v>
      </c>
      <c r="AS20">
        <v>0.13</v>
      </c>
    </row>
    <row r="21" spans="10:45" x14ac:dyDescent="0.3">
      <c r="J21">
        <v>20</v>
      </c>
      <c r="K21" t="s">
        <v>43</v>
      </c>
      <c r="L21">
        <v>34</v>
      </c>
      <c r="M21" t="s">
        <v>117</v>
      </c>
      <c r="N21">
        <v>76</v>
      </c>
      <c r="O21">
        <v>178</v>
      </c>
      <c r="P21">
        <v>13.6</v>
      </c>
      <c r="Q21">
        <v>13</v>
      </c>
      <c r="R21">
        <v>0.59999999999999964</v>
      </c>
      <c r="S21">
        <v>4.4117647058823506</v>
      </c>
      <c r="T21">
        <v>42.6</v>
      </c>
      <c r="U21">
        <v>40.700000000000003</v>
      </c>
      <c r="V21">
        <v>1.8999999999999986</v>
      </c>
      <c r="W21">
        <v>4.4600938967136114</v>
      </c>
      <c r="X21">
        <v>259</v>
      </c>
      <c r="Y21">
        <v>208</v>
      </c>
      <c r="Z21">
        <v>51</v>
      </c>
      <c r="AA21">
        <v>19.691119691119692</v>
      </c>
      <c r="AB21">
        <v>10.3</v>
      </c>
      <c r="AC21">
        <v>10.7</v>
      </c>
      <c r="AD21">
        <v>-0.39999999999999858</v>
      </c>
      <c r="AE21">
        <v>13.2</v>
      </c>
      <c r="AF21">
        <v>14.4</v>
      </c>
      <c r="AG21">
        <v>-1.2000000000000011</v>
      </c>
      <c r="AH21">
        <v>2345</v>
      </c>
      <c r="AI21">
        <v>127</v>
      </c>
      <c r="AJ21">
        <v>60</v>
      </c>
      <c r="AK21">
        <v>233</v>
      </c>
      <c r="AL21">
        <v>1647</v>
      </c>
      <c r="AM21" s="2">
        <v>13.6</v>
      </c>
      <c r="AN21" s="2">
        <v>60</v>
      </c>
      <c r="AO21">
        <v>3.83</v>
      </c>
      <c r="AP21">
        <v>3</v>
      </c>
      <c r="AQ21" s="2" t="s">
        <v>43</v>
      </c>
      <c r="AR21">
        <v>82.58</v>
      </c>
      <c r="AS21">
        <v>6.3E-2</v>
      </c>
    </row>
    <row r="22" spans="10:45" x14ac:dyDescent="0.3">
      <c r="J22">
        <v>21</v>
      </c>
      <c r="K22" t="s">
        <v>43</v>
      </c>
      <c r="L22">
        <v>20</v>
      </c>
      <c r="M22" t="s">
        <v>119</v>
      </c>
      <c r="N22">
        <v>69</v>
      </c>
      <c r="O22">
        <v>179</v>
      </c>
      <c r="P22">
        <v>13.8</v>
      </c>
      <c r="Q22">
        <v>12.9</v>
      </c>
      <c r="R22">
        <v>0.90000000000000036</v>
      </c>
      <c r="S22">
        <v>6.5217391304347849</v>
      </c>
      <c r="T22">
        <v>49.3</v>
      </c>
      <c r="U22">
        <v>47.6</v>
      </c>
      <c r="V22">
        <v>1.6999999999999957</v>
      </c>
      <c r="W22">
        <v>3.4482758620689573</v>
      </c>
      <c r="X22">
        <v>242</v>
      </c>
      <c r="Y22">
        <v>181</v>
      </c>
      <c r="Z22">
        <v>61</v>
      </c>
      <c r="AA22">
        <v>25.206611570247933</v>
      </c>
      <c r="AB22">
        <v>9.1</v>
      </c>
      <c r="AC22">
        <v>10.199999999999999</v>
      </c>
      <c r="AD22">
        <v>-1.0999999999999996</v>
      </c>
      <c r="AE22">
        <v>12.3</v>
      </c>
      <c r="AF22">
        <v>13.7</v>
      </c>
      <c r="AG22">
        <v>-1.3999999999999986</v>
      </c>
      <c r="AH22">
        <v>2769</v>
      </c>
      <c r="AI22">
        <v>105</v>
      </c>
      <c r="AJ22">
        <v>63</v>
      </c>
      <c r="AK22">
        <v>238</v>
      </c>
      <c r="AL22">
        <v>1534</v>
      </c>
      <c r="AM22" s="2">
        <v>13.8</v>
      </c>
      <c r="AN22" s="2">
        <v>63</v>
      </c>
      <c r="AO22">
        <v>3.65</v>
      </c>
      <c r="AP22">
        <v>3</v>
      </c>
      <c r="AQ22" s="2" t="s">
        <v>43</v>
      </c>
      <c r="AR22">
        <v>75.06</v>
      </c>
      <c r="AS22">
        <v>5.7000000000000002E-2</v>
      </c>
    </row>
    <row r="23" spans="10:45" x14ac:dyDescent="0.3">
      <c r="J23">
        <v>22</v>
      </c>
      <c r="K23" t="s">
        <v>43</v>
      </c>
      <c r="L23">
        <v>36</v>
      </c>
      <c r="M23" t="s">
        <v>118</v>
      </c>
      <c r="N23">
        <v>75</v>
      </c>
      <c r="O23">
        <v>177</v>
      </c>
      <c r="P23">
        <v>14.1</v>
      </c>
      <c r="Q23">
        <v>13.2</v>
      </c>
      <c r="R23">
        <v>0.90000000000000036</v>
      </c>
      <c r="S23">
        <v>6.3829787234042579</v>
      </c>
      <c r="T23">
        <v>49.3</v>
      </c>
      <c r="U23">
        <v>47.9</v>
      </c>
      <c r="V23">
        <v>1.3999999999999986</v>
      </c>
      <c r="W23">
        <v>2.8397565922920864</v>
      </c>
      <c r="X23">
        <v>303</v>
      </c>
      <c r="Y23">
        <v>240</v>
      </c>
      <c r="Z23">
        <v>63</v>
      </c>
      <c r="AA23">
        <v>20.792079207920793</v>
      </c>
      <c r="AB23">
        <v>11.2</v>
      </c>
      <c r="AC23">
        <v>12</v>
      </c>
      <c r="AD23">
        <v>-0.80000000000000071</v>
      </c>
      <c r="AE23">
        <v>10.9</v>
      </c>
      <c r="AF23">
        <v>11.9</v>
      </c>
      <c r="AG23">
        <v>-1</v>
      </c>
      <c r="AH23">
        <v>2642</v>
      </c>
      <c r="AI23">
        <v>95</v>
      </c>
      <c r="AJ23">
        <v>37</v>
      </c>
      <c r="AK23">
        <v>231</v>
      </c>
      <c r="AL23">
        <v>1826</v>
      </c>
      <c r="AM23" s="2">
        <v>14.1</v>
      </c>
      <c r="AN23" s="2">
        <v>37</v>
      </c>
      <c r="AO23">
        <v>4.21</v>
      </c>
      <c r="AP23">
        <v>3</v>
      </c>
      <c r="AQ23" s="2" t="s">
        <v>43</v>
      </c>
      <c r="AR23">
        <v>73.02</v>
      </c>
      <c r="AS23">
        <v>0.11</v>
      </c>
    </row>
    <row r="24" spans="10:45" x14ac:dyDescent="0.3">
      <c r="J24">
        <v>23</v>
      </c>
      <c r="K24" t="s">
        <v>43</v>
      </c>
      <c r="L24">
        <v>27</v>
      </c>
      <c r="M24" t="s">
        <v>120</v>
      </c>
      <c r="N24">
        <v>76</v>
      </c>
      <c r="O24">
        <v>178</v>
      </c>
      <c r="P24">
        <v>16.3</v>
      </c>
      <c r="Q24">
        <v>15.6</v>
      </c>
      <c r="R24">
        <v>0.70000000000000107</v>
      </c>
      <c r="S24">
        <v>4.2944785276073683</v>
      </c>
      <c r="T24">
        <v>46.7</v>
      </c>
      <c r="U24">
        <v>45.6</v>
      </c>
      <c r="V24">
        <v>1.1000000000000014</v>
      </c>
      <c r="W24">
        <v>2.3554603854389748</v>
      </c>
      <c r="X24">
        <v>277</v>
      </c>
      <c r="Y24">
        <v>204</v>
      </c>
      <c r="Z24">
        <v>73</v>
      </c>
      <c r="AA24">
        <v>26.353790613718413</v>
      </c>
      <c r="AB24">
        <v>11.4</v>
      </c>
      <c r="AC24">
        <v>11.7</v>
      </c>
      <c r="AD24">
        <v>-0.29999999999999893</v>
      </c>
      <c r="AE24">
        <v>12.6</v>
      </c>
      <c r="AF24">
        <v>13.3</v>
      </c>
      <c r="AG24">
        <v>-0.70000000000000107</v>
      </c>
      <c r="AH24">
        <v>2222</v>
      </c>
      <c r="AI24">
        <v>93</v>
      </c>
      <c r="AJ24">
        <v>38</v>
      </c>
      <c r="AK24">
        <v>242</v>
      </c>
      <c r="AL24">
        <v>1340</v>
      </c>
      <c r="AM24" s="2">
        <v>16.3</v>
      </c>
      <c r="AN24" s="2">
        <v>38</v>
      </c>
      <c r="AO24">
        <v>3.24</v>
      </c>
      <c r="AP24">
        <v>2</v>
      </c>
      <c r="AQ24" s="2" t="s">
        <v>43</v>
      </c>
      <c r="AR24">
        <v>78.61</v>
      </c>
      <c r="AS24">
        <v>8.5000000000000006E-2</v>
      </c>
    </row>
    <row r="25" spans="10:45" x14ac:dyDescent="0.3">
      <c r="J25">
        <v>24</v>
      </c>
      <c r="K25" t="s">
        <v>43</v>
      </c>
      <c r="L25">
        <v>28</v>
      </c>
      <c r="M25" t="s">
        <v>120</v>
      </c>
      <c r="N25">
        <v>83</v>
      </c>
      <c r="O25">
        <v>176</v>
      </c>
      <c r="P25">
        <v>15.7</v>
      </c>
      <c r="Q25">
        <v>15.2</v>
      </c>
      <c r="R25">
        <v>0.5</v>
      </c>
      <c r="S25">
        <v>3.1847133757961785</v>
      </c>
      <c r="T25">
        <v>49.4</v>
      </c>
      <c r="U25">
        <v>47.3</v>
      </c>
      <c r="V25">
        <v>2.1000000000000014</v>
      </c>
      <c r="W25">
        <v>4.2510121457489909</v>
      </c>
      <c r="X25">
        <v>266</v>
      </c>
      <c r="Y25">
        <v>208</v>
      </c>
      <c r="Z25">
        <v>58</v>
      </c>
      <c r="AA25">
        <v>21.804511278195488</v>
      </c>
      <c r="AB25">
        <v>10</v>
      </c>
      <c r="AC25">
        <v>10.9</v>
      </c>
      <c r="AD25">
        <v>-0.90000000000000036</v>
      </c>
      <c r="AE25">
        <v>10.3</v>
      </c>
      <c r="AF25">
        <v>11.2</v>
      </c>
      <c r="AG25">
        <v>-0.89999999999999858</v>
      </c>
      <c r="AH25">
        <v>3125</v>
      </c>
      <c r="AI25">
        <v>125</v>
      </c>
      <c r="AJ25">
        <v>55</v>
      </c>
      <c r="AK25">
        <v>236</v>
      </c>
      <c r="AL25">
        <v>1403</v>
      </c>
      <c r="AM25" s="2">
        <v>15.7</v>
      </c>
      <c r="AN25" s="2">
        <v>55</v>
      </c>
      <c r="AO25">
        <v>3.31</v>
      </c>
      <c r="AP25">
        <v>2</v>
      </c>
      <c r="AQ25" s="2" t="s">
        <v>43</v>
      </c>
      <c r="AR25">
        <v>64.52</v>
      </c>
      <c r="AS25">
        <v>0.06</v>
      </c>
    </row>
    <row r="26" spans="10:45" x14ac:dyDescent="0.3">
      <c r="J26">
        <v>25</v>
      </c>
      <c r="K26" t="s">
        <v>43</v>
      </c>
      <c r="L26">
        <v>38</v>
      </c>
      <c r="M26" t="s">
        <v>118</v>
      </c>
      <c r="N26">
        <v>70</v>
      </c>
      <c r="O26">
        <v>179</v>
      </c>
      <c r="P26">
        <v>15.2</v>
      </c>
      <c r="Q26">
        <v>14.7</v>
      </c>
      <c r="R26">
        <v>0.5</v>
      </c>
      <c r="S26">
        <v>3.2894736842105261</v>
      </c>
      <c r="T26">
        <v>43</v>
      </c>
      <c r="U26">
        <v>41.1</v>
      </c>
      <c r="V26">
        <v>1.8999999999999986</v>
      </c>
      <c r="W26">
        <v>4.418604651162787</v>
      </c>
      <c r="X26">
        <v>330</v>
      </c>
      <c r="Y26">
        <v>271</v>
      </c>
      <c r="Z26">
        <v>59</v>
      </c>
      <c r="AA26">
        <v>17.878787878787879</v>
      </c>
      <c r="AB26">
        <v>9.1</v>
      </c>
      <c r="AC26">
        <v>9.8000000000000007</v>
      </c>
      <c r="AD26">
        <v>-0.70000000000000107</v>
      </c>
      <c r="AE26">
        <v>10.199999999999999</v>
      </c>
      <c r="AF26">
        <v>11.1</v>
      </c>
      <c r="AG26">
        <v>-0.90000000000000036</v>
      </c>
      <c r="AH26">
        <v>2805</v>
      </c>
      <c r="AI26">
        <v>118</v>
      </c>
      <c r="AJ26">
        <v>49</v>
      </c>
      <c r="AK26">
        <v>230</v>
      </c>
      <c r="AL26">
        <v>1310</v>
      </c>
      <c r="AM26" s="2">
        <v>15.2</v>
      </c>
      <c r="AN26" s="2">
        <v>49</v>
      </c>
      <c r="AO26">
        <v>3.01</v>
      </c>
      <c r="AP26">
        <v>2</v>
      </c>
      <c r="AQ26" s="2" t="s">
        <v>43</v>
      </c>
      <c r="AR26">
        <v>61.86</v>
      </c>
      <c r="AS26">
        <v>6.0999999999999999E-2</v>
      </c>
    </row>
    <row r="27" spans="10:45" x14ac:dyDescent="0.3">
      <c r="J27">
        <v>26</v>
      </c>
      <c r="K27" t="s">
        <v>43</v>
      </c>
      <c r="L27">
        <v>36</v>
      </c>
      <c r="M27" t="s">
        <v>118</v>
      </c>
      <c r="N27">
        <v>70</v>
      </c>
      <c r="O27">
        <v>177</v>
      </c>
      <c r="P27">
        <v>14.6</v>
      </c>
      <c r="Q27">
        <v>14.2</v>
      </c>
      <c r="R27">
        <v>0.40000000000000036</v>
      </c>
      <c r="S27">
        <v>2.7397260273972628</v>
      </c>
      <c r="T27">
        <v>44.3</v>
      </c>
      <c r="U27">
        <v>42.5</v>
      </c>
      <c r="V27">
        <v>1.7999999999999972</v>
      </c>
      <c r="W27">
        <v>4.0632054176072172</v>
      </c>
      <c r="X27">
        <v>228</v>
      </c>
      <c r="Y27">
        <v>148</v>
      </c>
      <c r="Z27">
        <v>80</v>
      </c>
      <c r="AA27">
        <v>35.087719298245609</v>
      </c>
      <c r="AB27">
        <v>9.4</v>
      </c>
      <c r="AC27">
        <v>10.5</v>
      </c>
      <c r="AD27">
        <v>-1.0999999999999996</v>
      </c>
      <c r="AE27">
        <v>13.9</v>
      </c>
      <c r="AF27">
        <v>15.2</v>
      </c>
      <c r="AG27">
        <v>-1.2999999999999989</v>
      </c>
      <c r="AH27">
        <v>2707</v>
      </c>
      <c r="AI27">
        <v>97</v>
      </c>
      <c r="AJ27">
        <v>60</v>
      </c>
      <c r="AK27">
        <v>238</v>
      </c>
      <c r="AL27">
        <v>1417</v>
      </c>
      <c r="AM27" s="2">
        <v>14.6</v>
      </c>
      <c r="AN27" s="2">
        <v>60</v>
      </c>
      <c r="AO27">
        <v>3.37</v>
      </c>
      <c r="AP27">
        <v>2</v>
      </c>
      <c r="AQ27" s="2" t="s">
        <v>43</v>
      </c>
      <c r="AR27">
        <v>71.75</v>
      </c>
      <c r="AS27">
        <v>5.6000000000000001E-2</v>
      </c>
    </row>
    <row r="28" spans="10:45" x14ac:dyDescent="0.3">
      <c r="J28">
        <v>27</v>
      </c>
      <c r="K28" t="s">
        <v>43</v>
      </c>
      <c r="L28">
        <v>32</v>
      </c>
      <c r="M28" t="s">
        <v>117</v>
      </c>
      <c r="N28">
        <v>78</v>
      </c>
      <c r="O28">
        <v>175</v>
      </c>
      <c r="P28">
        <v>15.5</v>
      </c>
      <c r="Q28">
        <v>14.6</v>
      </c>
      <c r="R28">
        <v>0.90000000000000036</v>
      </c>
      <c r="S28">
        <v>5.8064516129032278</v>
      </c>
      <c r="T28">
        <v>44.7</v>
      </c>
      <c r="U28">
        <v>42.9</v>
      </c>
      <c r="V28">
        <v>1.8000000000000043</v>
      </c>
      <c r="W28">
        <v>4.0268456375839019</v>
      </c>
      <c r="X28">
        <v>254</v>
      </c>
      <c r="Y28">
        <v>197</v>
      </c>
      <c r="Z28">
        <v>57</v>
      </c>
      <c r="AA28">
        <v>22.440944881889763</v>
      </c>
      <c r="AB28">
        <v>11.5</v>
      </c>
      <c r="AC28">
        <v>11.8</v>
      </c>
      <c r="AD28">
        <v>-0.30000000000000071</v>
      </c>
      <c r="AE28">
        <v>10.7</v>
      </c>
      <c r="AF28">
        <v>11.8</v>
      </c>
      <c r="AG28">
        <v>-1.1000000000000014</v>
      </c>
      <c r="AH28">
        <v>2823</v>
      </c>
      <c r="AI28">
        <v>125</v>
      </c>
      <c r="AJ28">
        <v>58</v>
      </c>
      <c r="AK28">
        <v>244</v>
      </c>
      <c r="AL28">
        <v>1587</v>
      </c>
      <c r="AM28" s="2">
        <v>15.5</v>
      </c>
      <c r="AN28" s="2">
        <v>58</v>
      </c>
      <c r="AO28">
        <v>3.87</v>
      </c>
      <c r="AP28">
        <v>3</v>
      </c>
      <c r="AQ28" s="2" t="s">
        <v>43</v>
      </c>
      <c r="AR28">
        <v>75.930000000000007</v>
      </c>
      <c r="AS28">
        <v>6.6000000000000003E-2</v>
      </c>
    </row>
    <row r="29" spans="10:45" x14ac:dyDescent="0.3">
      <c r="J29">
        <v>28</v>
      </c>
      <c r="K29" t="s">
        <v>43</v>
      </c>
      <c r="L29">
        <v>33</v>
      </c>
      <c r="M29" t="s">
        <v>117</v>
      </c>
      <c r="N29">
        <v>71</v>
      </c>
      <c r="O29">
        <v>170</v>
      </c>
      <c r="P29">
        <v>14.5</v>
      </c>
      <c r="Q29">
        <v>14</v>
      </c>
      <c r="R29">
        <v>0.5</v>
      </c>
      <c r="S29">
        <v>3.4482758620689653</v>
      </c>
      <c r="T29">
        <v>41.8</v>
      </c>
      <c r="U29">
        <v>40.4</v>
      </c>
      <c r="V29">
        <v>1.3999999999999986</v>
      </c>
      <c r="W29">
        <v>3.3492822966507143</v>
      </c>
      <c r="X29">
        <v>314</v>
      </c>
      <c r="Y29">
        <v>238</v>
      </c>
      <c r="Z29">
        <v>76</v>
      </c>
      <c r="AA29">
        <v>24.203821656050955</v>
      </c>
      <c r="AB29">
        <v>10.1</v>
      </c>
      <c r="AC29">
        <v>10.3</v>
      </c>
      <c r="AD29">
        <v>-0.20000000000000107</v>
      </c>
      <c r="AE29">
        <v>11.2</v>
      </c>
      <c r="AF29">
        <v>12.3</v>
      </c>
      <c r="AG29">
        <v>-1.1000000000000014</v>
      </c>
      <c r="AH29">
        <v>2001</v>
      </c>
      <c r="AI29">
        <v>124</v>
      </c>
      <c r="AJ29">
        <v>54</v>
      </c>
      <c r="AK29">
        <v>238</v>
      </c>
      <c r="AL29">
        <v>1946</v>
      </c>
      <c r="AM29" s="2">
        <v>14.5</v>
      </c>
      <c r="AN29" s="2">
        <v>54</v>
      </c>
      <c r="AO29">
        <v>4.63</v>
      </c>
      <c r="AP29">
        <v>3</v>
      </c>
      <c r="AQ29" s="2" t="s">
        <v>43</v>
      </c>
      <c r="AR29">
        <v>97.99</v>
      </c>
      <c r="AS29">
        <v>8.5000000000000006E-2</v>
      </c>
    </row>
    <row r="30" spans="10:45" x14ac:dyDescent="0.3">
      <c r="J30">
        <v>29</v>
      </c>
      <c r="K30" t="s">
        <v>43</v>
      </c>
      <c r="L30">
        <v>27</v>
      </c>
      <c r="M30" t="s">
        <v>120</v>
      </c>
      <c r="N30">
        <v>79</v>
      </c>
      <c r="O30">
        <v>172</v>
      </c>
      <c r="P30">
        <v>15</v>
      </c>
      <c r="Q30">
        <v>14</v>
      </c>
      <c r="R30">
        <v>1</v>
      </c>
      <c r="S30">
        <v>6.666666666666667</v>
      </c>
      <c r="T30">
        <v>49.1</v>
      </c>
      <c r="U30">
        <v>47.6</v>
      </c>
      <c r="V30">
        <v>1.5</v>
      </c>
      <c r="W30">
        <v>3.0549898167006111</v>
      </c>
      <c r="X30">
        <v>214</v>
      </c>
      <c r="Y30">
        <v>157</v>
      </c>
      <c r="Z30">
        <v>57</v>
      </c>
      <c r="AA30">
        <v>26.635514018691588</v>
      </c>
      <c r="AB30">
        <v>9</v>
      </c>
      <c r="AC30">
        <v>9.9</v>
      </c>
      <c r="AD30">
        <v>-0.90000000000000036</v>
      </c>
      <c r="AE30">
        <v>14.3</v>
      </c>
      <c r="AF30">
        <v>15.1</v>
      </c>
      <c r="AG30">
        <v>-0.79999999999999893</v>
      </c>
      <c r="AH30">
        <v>2852</v>
      </c>
      <c r="AI30">
        <v>118</v>
      </c>
      <c r="AJ30">
        <v>42</v>
      </c>
      <c r="AK30">
        <v>242</v>
      </c>
      <c r="AL30">
        <v>1639</v>
      </c>
      <c r="AM30" s="2">
        <v>15</v>
      </c>
      <c r="AN30" s="2">
        <v>42</v>
      </c>
      <c r="AO30">
        <v>3.96</v>
      </c>
      <c r="AP30">
        <v>3</v>
      </c>
      <c r="AQ30" s="2" t="s">
        <v>43</v>
      </c>
      <c r="AR30">
        <v>73.84</v>
      </c>
      <c r="AS30">
        <v>9.4E-2</v>
      </c>
    </row>
    <row r="31" spans="10:45" x14ac:dyDescent="0.3">
      <c r="J31">
        <v>30</v>
      </c>
      <c r="K31" t="s">
        <v>43</v>
      </c>
      <c r="L31">
        <v>28</v>
      </c>
      <c r="M31" t="s">
        <v>120</v>
      </c>
      <c r="N31">
        <v>77</v>
      </c>
      <c r="O31">
        <v>170</v>
      </c>
      <c r="P31">
        <v>15.7</v>
      </c>
      <c r="Q31">
        <v>15</v>
      </c>
      <c r="R31">
        <v>0.69999999999999929</v>
      </c>
      <c r="S31">
        <v>4.4585987261146451</v>
      </c>
      <c r="T31">
        <v>45.8</v>
      </c>
      <c r="U31">
        <v>43.9</v>
      </c>
      <c r="V31">
        <v>1.8999999999999986</v>
      </c>
      <c r="W31">
        <v>4.1484716157205215</v>
      </c>
      <c r="X31">
        <v>211</v>
      </c>
      <c r="Y31">
        <v>130</v>
      </c>
      <c r="Z31">
        <v>81</v>
      </c>
      <c r="AA31">
        <v>38.388625592417064</v>
      </c>
      <c r="AB31">
        <v>11</v>
      </c>
      <c r="AC31">
        <v>11.1</v>
      </c>
      <c r="AD31">
        <v>-9.9999999999999645E-2</v>
      </c>
      <c r="AE31">
        <v>12.5</v>
      </c>
      <c r="AF31">
        <v>13.7</v>
      </c>
      <c r="AG31">
        <v>-1.1999999999999993</v>
      </c>
      <c r="AH31">
        <v>2763</v>
      </c>
      <c r="AI31">
        <v>121</v>
      </c>
      <c r="AJ31">
        <v>40</v>
      </c>
      <c r="AK31">
        <v>243</v>
      </c>
      <c r="AL31">
        <v>1355</v>
      </c>
      <c r="AM31" s="2">
        <v>15.7</v>
      </c>
      <c r="AN31" s="2">
        <v>40</v>
      </c>
      <c r="AO31">
        <v>3.29</v>
      </c>
      <c r="AP31">
        <v>2</v>
      </c>
      <c r="AQ31" s="2" t="s">
        <v>43</v>
      </c>
      <c r="AR31">
        <v>72.45</v>
      </c>
      <c r="AS31">
        <v>8.2000000000000003E-2</v>
      </c>
    </row>
    <row r="32" spans="10:45" x14ac:dyDescent="0.3">
      <c r="J32">
        <v>31</v>
      </c>
      <c r="K32" t="s">
        <v>81</v>
      </c>
      <c r="L32">
        <v>26</v>
      </c>
      <c r="M32" t="s">
        <v>120</v>
      </c>
      <c r="N32">
        <v>68</v>
      </c>
      <c r="O32">
        <v>170</v>
      </c>
      <c r="P32">
        <v>14.3</v>
      </c>
      <c r="Q32">
        <v>14</v>
      </c>
      <c r="R32">
        <v>0.30000000000000071</v>
      </c>
      <c r="S32">
        <v>2.0979020979021028</v>
      </c>
      <c r="T32">
        <v>38.700000000000003</v>
      </c>
      <c r="U32">
        <v>37.6</v>
      </c>
      <c r="V32">
        <v>1.1000000000000014</v>
      </c>
      <c r="W32">
        <v>2.8423772609819156</v>
      </c>
      <c r="X32">
        <v>278</v>
      </c>
      <c r="Y32">
        <v>180</v>
      </c>
      <c r="Z32">
        <v>98</v>
      </c>
      <c r="AA32">
        <v>35.251798561151077</v>
      </c>
      <c r="AB32">
        <v>11.3</v>
      </c>
      <c r="AC32">
        <v>11.5</v>
      </c>
      <c r="AD32">
        <v>-0.19999999999999929</v>
      </c>
      <c r="AE32">
        <v>12.8</v>
      </c>
      <c r="AF32">
        <v>13.9</v>
      </c>
      <c r="AG32">
        <v>-1.0999999999999996</v>
      </c>
      <c r="AH32">
        <v>2918</v>
      </c>
      <c r="AI32">
        <v>75</v>
      </c>
      <c r="AJ32">
        <v>73</v>
      </c>
      <c r="AK32">
        <v>349</v>
      </c>
      <c r="AL32">
        <v>1208</v>
      </c>
      <c r="AM32" s="2">
        <v>14.3</v>
      </c>
      <c r="AN32" s="2">
        <v>73</v>
      </c>
      <c r="AO32">
        <v>4.22</v>
      </c>
      <c r="AP32">
        <v>3</v>
      </c>
      <c r="AQ32" s="2" t="s">
        <v>81</v>
      </c>
      <c r="AR32">
        <v>63.15</v>
      </c>
      <c r="AS32">
        <v>5.7000000000000002E-2</v>
      </c>
    </row>
    <row r="33" spans="10:45" x14ac:dyDescent="0.3">
      <c r="J33">
        <v>32</v>
      </c>
      <c r="K33" t="s">
        <v>81</v>
      </c>
      <c r="L33">
        <v>19</v>
      </c>
      <c r="M33" t="s">
        <v>122</v>
      </c>
      <c r="N33">
        <v>73</v>
      </c>
      <c r="O33">
        <v>172</v>
      </c>
      <c r="P33">
        <v>14.1</v>
      </c>
      <c r="Q33">
        <v>13.7</v>
      </c>
      <c r="R33">
        <v>0.40000000000000036</v>
      </c>
      <c r="S33">
        <v>2.8368794326241162</v>
      </c>
      <c r="T33">
        <v>42.2</v>
      </c>
      <c r="U33">
        <v>40.6</v>
      </c>
      <c r="V33">
        <v>1.6000000000000014</v>
      </c>
      <c r="W33">
        <v>3.7914691943127994</v>
      </c>
      <c r="X33">
        <v>449</v>
      </c>
      <c r="Y33">
        <v>347</v>
      </c>
      <c r="Z33">
        <v>102</v>
      </c>
      <c r="AA33">
        <v>22.717149220489976</v>
      </c>
      <c r="AB33">
        <v>8.9</v>
      </c>
      <c r="AC33">
        <v>9</v>
      </c>
      <c r="AD33">
        <v>-9.9999999999999645E-2</v>
      </c>
      <c r="AE33">
        <v>10.5</v>
      </c>
      <c r="AF33">
        <v>10.9</v>
      </c>
      <c r="AG33">
        <v>-0.40000000000000036</v>
      </c>
      <c r="AH33">
        <v>1869</v>
      </c>
      <c r="AI33">
        <v>79</v>
      </c>
      <c r="AJ33">
        <v>47</v>
      </c>
      <c r="AK33">
        <v>327</v>
      </c>
      <c r="AL33">
        <v>739</v>
      </c>
      <c r="AM33" s="2">
        <v>14.1</v>
      </c>
      <c r="AN33" s="2">
        <v>47</v>
      </c>
      <c r="AO33">
        <v>2.41</v>
      </c>
      <c r="AP33">
        <v>1</v>
      </c>
      <c r="AQ33" s="2" t="s">
        <v>81</v>
      </c>
      <c r="AR33">
        <v>32.43</v>
      </c>
      <c r="AS33">
        <v>5.0999999999999997E-2</v>
      </c>
    </row>
    <row r="34" spans="10:45" x14ac:dyDescent="0.3">
      <c r="J34">
        <v>33</v>
      </c>
      <c r="K34" t="s">
        <v>81</v>
      </c>
      <c r="L34">
        <v>23</v>
      </c>
      <c r="M34" t="s">
        <v>119</v>
      </c>
      <c r="N34">
        <v>86</v>
      </c>
      <c r="O34">
        <v>181</v>
      </c>
      <c r="P34">
        <v>16.3</v>
      </c>
      <c r="Q34">
        <v>16</v>
      </c>
      <c r="R34">
        <v>0.30000000000000071</v>
      </c>
      <c r="S34">
        <v>1.8404907975460165</v>
      </c>
      <c r="T34">
        <v>46.6</v>
      </c>
      <c r="U34">
        <v>44</v>
      </c>
      <c r="V34">
        <v>2.6000000000000014</v>
      </c>
      <c r="W34">
        <v>5.5793991416309048</v>
      </c>
      <c r="X34">
        <v>244</v>
      </c>
      <c r="Y34">
        <v>177</v>
      </c>
      <c r="Z34">
        <v>67</v>
      </c>
      <c r="AA34">
        <v>27.459016393442624</v>
      </c>
      <c r="AB34">
        <v>10.3</v>
      </c>
      <c r="AC34">
        <v>10.5</v>
      </c>
      <c r="AD34">
        <v>-0.19999999999999929</v>
      </c>
      <c r="AE34">
        <v>12.6</v>
      </c>
      <c r="AF34">
        <v>12.9</v>
      </c>
      <c r="AG34">
        <v>-0.30000000000000071</v>
      </c>
      <c r="AH34">
        <v>3414</v>
      </c>
      <c r="AI34">
        <v>75</v>
      </c>
      <c r="AJ34">
        <v>90</v>
      </c>
      <c r="AK34">
        <v>325</v>
      </c>
      <c r="AL34">
        <v>1053</v>
      </c>
      <c r="AM34" s="2">
        <v>16.3</v>
      </c>
      <c r="AN34" s="2">
        <v>90</v>
      </c>
      <c r="AO34">
        <v>3.86</v>
      </c>
      <c r="AP34">
        <v>3</v>
      </c>
      <c r="AQ34" s="2" t="s">
        <v>81</v>
      </c>
      <c r="AR34">
        <v>53.76</v>
      </c>
      <c r="AS34">
        <v>4.2000000000000003E-2</v>
      </c>
    </row>
    <row r="35" spans="10:45" x14ac:dyDescent="0.3">
      <c r="J35">
        <v>34</v>
      </c>
      <c r="K35" t="s">
        <v>81</v>
      </c>
      <c r="L35">
        <v>23</v>
      </c>
      <c r="M35" t="s">
        <v>119</v>
      </c>
      <c r="N35">
        <v>68</v>
      </c>
      <c r="O35">
        <v>178</v>
      </c>
      <c r="P35">
        <v>14.6</v>
      </c>
      <c r="Q35">
        <v>14.1</v>
      </c>
      <c r="R35">
        <v>0.5</v>
      </c>
      <c r="S35">
        <v>3.4246575342465753</v>
      </c>
      <c r="T35">
        <v>42.8</v>
      </c>
      <c r="U35">
        <v>41.5</v>
      </c>
      <c r="V35">
        <v>1.2999999999999972</v>
      </c>
      <c r="W35">
        <v>3.0373831775700868</v>
      </c>
      <c r="X35">
        <v>282</v>
      </c>
      <c r="Y35">
        <v>213</v>
      </c>
      <c r="Z35">
        <v>69</v>
      </c>
      <c r="AA35">
        <v>24.468085106382979</v>
      </c>
      <c r="AB35">
        <v>9.6</v>
      </c>
      <c r="AC35">
        <v>10.3</v>
      </c>
      <c r="AD35">
        <v>-0.70000000000000107</v>
      </c>
      <c r="AE35">
        <v>11.7</v>
      </c>
      <c r="AF35">
        <v>12.6</v>
      </c>
      <c r="AG35">
        <v>-0.90000000000000036</v>
      </c>
      <c r="AH35">
        <v>2779</v>
      </c>
      <c r="AI35">
        <v>75</v>
      </c>
      <c r="AJ35">
        <v>73</v>
      </c>
      <c r="AK35">
        <v>326</v>
      </c>
      <c r="AL35">
        <v>1186</v>
      </c>
      <c r="AM35" s="2">
        <v>14.6</v>
      </c>
      <c r="AN35" s="2">
        <v>73</v>
      </c>
      <c r="AO35">
        <v>3.86</v>
      </c>
      <c r="AP35">
        <v>3</v>
      </c>
      <c r="AQ35" s="2" t="s">
        <v>81</v>
      </c>
      <c r="AR35">
        <v>55.9</v>
      </c>
      <c r="AS35">
        <v>5.1999999999999998E-2</v>
      </c>
    </row>
    <row r="36" spans="10:45" x14ac:dyDescent="0.3">
      <c r="J36">
        <v>35</v>
      </c>
      <c r="K36" t="s">
        <v>81</v>
      </c>
      <c r="L36">
        <v>40</v>
      </c>
      <c r="M36" t="s">
        <v>121</v>
      </c>
      <c r="N36">
        <v>85</v>
      </c>
      <c r="O36">
        <v>172</v>
      </c>
      <c r="P36">
        <v>16</v>
      </c>
      <c r="Q36">
        <v>15.5</v>
      </c>
      <c r="R36">
        <v>0.5</v>
      </c>
      <c r="S36">
        <v>3.125</v>
      </c>
      <c r="T36">
        <v>46.9</v>
      </c>
      <c r="U36">
        <v>46.5</v>
      </c>
      <c r="V36">
        <v>0.39999999999999858</v>
      </c>
      <c r="W36">
        <v>0.8528784648187604</v>
      </c>
      <c r="X36">
        <v>293</v>
      </c>
      <c r="Y36">
        <v>213</v>
      </c>
      <c r="Z36">
        <v>80</v>
      </c>
      <c r="AA36">
        <v>27.303754266211605</v>
      </c>
      <c r="AB36">
        <v>8.6999999999999993</v>
      </c>
      <c r="AC36">
        <v>9.8000000000000007</v>
      </c>
      <c r="AD36">
        <v>-1.1000000000000014</v>
      </c>
      <c r="AE36">
        <v>9.8000000000000007</v>
      </c>
      <c r="AF36">
        <v>10.5</v>
      </c>
      <c r="AG36">
        <v>-0.69999999999999929</v>
      </c>
      <c r="AH36">
        <v>2650</v>
      </c>
      <c r="AI36">
        <v>75</v>
      </c>
      <c r="AJ36">
        <v>69</v>
      </c>
      <c r="AK36">
        <v>326</v>
      </c>
      <c r="AL36">
        <v>1126</v>
      </c>
      <c r="AM36" s="2">
        <v>16</v>
      </c>
      <c r="AN36" s="2">
        <v>69</v>
      </c>
      <c r="AO36">
        <v>3.67</v>
      </c>
      <c r="AP36">
        <v>3</v>
      </c>
      <c r="AQ36" s="2" t="s">
        <v>81</v>
      </c>
      <c r="AR36">
        <v>57.6</v>
      </c>
      <c r="AS36">
        <v>5.2999999999999999E-2</v>
      </c>
    </row>
    <row r="37" spans="10:45" x14ac:dyDescent="0.3">
      <c r="J37">
        <v>36</v>
      </c>
      <c r="K37" t="s">
        <v>81</v>
      </c>
      <c r="L37">
        <v>26</v>
      </c>
      <c r="M37" t="s">
        <v>120</v>
      </c>
      <c r="N37">
        <v>75</v>
      </c>
      <c r="O37">
        <v>174</v>
      </c>
      <c r="P37">
        <v>15</v>
      </c>
      <c r="Q37">
        <v>14.5</v>
      </c>
      <c r="R37">
        <v>0.5</v>
      </c>
      <c r="S37">
        <v>3.3333333333333335</v>
      </c>
      <c r="T37">
        <v>47.4</v>
      </c>
      <c r="U37">
        <v>47</v>
      </c>
      <c r="V37">
        <v>0.39999999999999858</v>
      </c>
      <c r="W37">
        <v>0.84388185654008141</v>
      </c>
      <c r="X37">
        <v>279</v>
      </c>
      <c r="Y37">
        <v>204</v>
      </c>
      <c r="Z37">
        <v>75</v>
      </c>
      <c r="AA37">
        <v>26.881720430107524</v>
      </c>
      <c r="AB37">
        <v>8.6999999999999993</v>
      </c>
      <c r="AC37">
        <v>9.3000000000000007</v>
      </c>
      <c r="AD37">
        <v>-0.60000000000000142</v>
      </c>
      <c r="AE37">
        <v>9.1</v>
      </c>
      <c r="AF37">
        <v>10</v>
      </c>
      <c r="AG37">
        <v>-0.90000000000000036</v>
      </c>
      <c r="AH37">
        <v>2916</v>
      </c>
      <c r="AI37">
        <v>79</v>
      </c>
      <c r="AJ37">
        <v>73</v>
      </c>
      <c r="AK37">
        <v>349</v>
      </c>
      <c r="AL37">
        <v>1188</v>
      </c>
      <c r="AM37" s="2">
        <v>15</v>
      </c>
      <c r="AN37" s="2">
        <v>73</v>
      </c>
      <c r="AO37">
        <v>4.1399999999999997</v>
      </c>
      <c r="AP37">
        <v>3</v>
      </c>
      <c r="AQ37" s="2" t="s">
        <v>81</v>
      </c>
      <c r="AR37">
        <v>58.9</v>
      </c>
      <c r="AS37">
        <v>5.6000000000000001E-2</v>
      </c>
    </row>
    <row r="38" spans="10:45" x14ac:dyDescent="0.3">
      <c r="J38">
        <v>37</v>
      </c>
      <c r="K38" t="s">
        <v>81</v>
      </c>
      <c r="L38">
        <v>24</v>
      </c>
      <c r="M38" t="s">
        <v>119</v>
      </c>
      <c r="N38">
        <v>72</v>
      </c>
      <c r="O38">
        <v>167</v>
      </c>
      <c r="P38">
        <v>14.3</v>
      </c>
      <c r="Q38">
        <v>14</v>
      </c>
      <c r="R38">
        <v>0.30000000000000071</v>
      </c>
      <c r="S38">
        <v>2.0979020979021028</v>
      </c>
      <c r="T38">
        <v>43.9</v>
      </c>
      <c r="U38">
        <v>43.6</v>
      </c>
      <c r="V38">
        <v>0.29999999999999716</v>
      </c>
      <c r="W38">
        <v>0.68337129840546051</v>
      </c>
      <c r="X38">
        <v>298</v>
      </c>
      <c r="Y38">
        <v>212</v>
      </c>
      <c r="Z38">
        <v>86</v>
      </c>
      <c r="AA38">
        <v>28.859060402684566</v>
      </c>
      <c r="AB38">
        <v>11.3</v>
      </c>
      <c r="AC38">
        <v>11.7</v>
      </c>
      <c r="AD38">
        <v>-0.39999999999999858</v>
      </c>
      <c r="AE38">
        <v>13.6</v>
      </c>
      <c r="AF38">
        <v>13.8</v>
      </c>
      <c r="AG38">
        <v>-0.20000000000000107</v>
      </c>
      <c r="AH38">
        <v>2772</v>
      </c>
      <c r="AI38">
        <v>75</v>
      </c>
      <c r="AJ38">
        <v>69</v>
      </c>
      <c r="AK38">
        <v>349</v>
      </c>
      <c r="AL38">
        <v>1170</v>
      </c>
      <c r="AM38" s="2">
        <v>14.3</v>
      </c>
      <c r="AN38" s="2">
        <v>69</v>
      </c>
      <c r="AO38">
        <v>4.08</v>
      </c>
      <c r="AP38">
        <v>3</v>
      </c>
      <c r="AQ38" s="2" t="s">
        <v>81</v>
      </c>
      <c r="AR38">
        <v>57.8</v>
      </c>
      <c r="AS38">
        <v>5.8999999999999997E-2</v>
      </c>
    </row>
    <row r="39" spans="10:45" x14ac:dyDescent="0.3">
      <c r="J39">
        <v>38</v>
      </c>
      <c r="K39" t="s">
        <v>81</v>
      </c>
      <c r="L39">
        <v>26</v>
      </c>
      <c r="M39" t="s">
        <v>120</v>
      </c>
      <c r="N39">
        <v>65</v>
      </c>
      <c r="O39">
        <v>166</v>
      </c>
      <c r="P39">
        <v>15.2</v>
      </c>
      <c r="Q39">
        <v>14.9</v>
      </c>
      <c r="R39">
        <v>0.29999999999999893</v>
      </c>
      <c r="S39">
        <v>1.9736842105263088</v>
      </c>
      <c r="T39">
        <v>48.6</v>
      </c>
      <c r="U39">
        <v>46.8</v>
      </c>
      <c r="V39">
        <v>1.8000000000000043</v>
      </c>
      <c r="W39">
        <v>3.7037037037037126</v>
      </c>
      <c r="X39">
        <v>298</v>
      </c>
      <c r="Y39">
        <v>217</v>
      </c>
      <c r="Z39">
        <v>81</v>
      </c>
      <c r="AA39">
        <v>27.181208053691275</v>
      </c>
      <c r="AB39">
        <v>11.1</v>
      </c>
      <c r="AC39">
        <v>11.8</v>
      </c>
      <c r="AD39">
        <v>-0.70000000000000107</v>
      </c>
      <c r="AE39">
        <v>13.5</v>
      </c>
      <c r="AF39">
        <v>15.1</v>
      </c>
      <c r="AG39">
        <v>-1.5999999999999996</v>
      </c>
      <c r="AH39">
        <v>2799</v>
      </c>
      <c r="AI39">
        <v>74</v>
      </c>
      <c r="AJ39">
        <v>70</v>
      </c>
      <c r="AK39">
        <v>349</v>
      </c>
      <c r="AL39">
        <v>1221</v>
      </c>
      <c r="AM39" s="2">
        <v>15.2</v>
      </c>
      <c r="AN39" s="2">
        <v>70</v>
      </c>
      <c r="AO39">
        <v>4.26</v>
      </c>
      <c r="AP39">
        <v>3</v>
      </c>
      <c r="AQ39" s="2" t="s">
        <v>81</v>
      </c>
      <c r="AR39">
        <v>59.1</v>
      </c>
      <c r="AS39">
        <v>0.06</v>
      </c>
    </row>
    <row r="40" spans="10:45" x14ac:dyDescent="0.3">
      <c r="J40">
        <v>39</v>
      </c>
      <c r="K40" t="s">
        <v>81</v>
      </c>
      <c r="L40">
        <v>32</v>
      </c>
      <c r="M40" t="s">
        <v>117</v>
      </c>
      <c r="N40">
        <v>69</v>
      </c>
      <c r="O40">
        <v>173</v>
      </c>
      <c r="P40">
        <v>13.8</v>
      </c>
      <c r="Q40">
        <v>13.8</v>
      </c>
      <c r="R40">
        <v>0</v>
      </c>
      <c r="S40">
        <v>0</v>
      </c>
      <c r="T40">
        <v>43.7</v>
      </c>
      <c r="U40">
        <v>43</v>
      </c>
      <c r="V40">
        <v>0.70000000000000284</v>
      </c>
      <c r="W40">
        <v>1.601830663615567</v>
      </c>
      <c r="X40">
        <v>315</v>
      </c>
      <c r="Y40">
        <v>231</v>
      </c>
      <c r="Z40">
        <v>84</v>
      </c>
      <c r="AA40">
        <v>26.666666666666668</v>
      </c>
      <c r="AB40">
        <v>9.1</v>
      </c>
      <c r="AC40">
        <v>9.5</v>
      </c>
      <c r="AD40">
        <v>-0.40000000000000036</v>
      </c>
      <c r="AE40">
        <v>11.1</v>
      </c>
      <c r="AF40">
        <v>9.6999999999999993</v>
      </c>
      <c r="AG40">
        <v>1.4000000000000004</v>
      </c>
      <c r="AH40">
        <v>2625</v>
      </c>
      <c r="AI40">
        <v>75</v>
      </c>
      <c r="AJ40">
        <v>65</v>
      </c>
      <c r="AK40">
        <v>350</v>
      </c>
      <c r="AL40">
        <v>1221</v>
      </c>
      <c r="AM40" s="2">
        <v>13.8</v>
      </c>
      <c r="AN40" s="2">
        <v>65</v>
      </c>
      <c r="AO40">
        <v>4.2699999999999996</v>
      </c>
      <c r="AP40">
        <v>3</v>
      </c>
      <c r="AQ40" s="2" t="s">
        <v>81</v>
      </c>
      <c r="AR40">
        <v>60</v>
      </c>
      <c r="AS40">
        <v>6.5000000000000002E-2</v>
      </c>
    </row>
    <row r="41" spans="10:45" x14ac:dyDescent="0.3">
      <c r="J41">
        <v>40</v>
      </c>
      <c r="K41" t="s">
        <v>81</v>
      </c>
      <c r="L41">
        <v>32</v>
      </c>
      <c r="M41" t="s">
        <v>117</v>
      </c>
      <c r="N41">
        <v>83</v>
      </c>
      <c r="O41">
        <v>175</v>
      </c>
      <c r="P41">
        <v>13.8</v>
      </c>
      <c r="Q41">
        <v>13.5</v>
      </c>
      <c r="R41">
        <v>0.30000000000000071</v>
      </c>
      <c r="S41">
        <v>2.1739130434782661</v>
      </c>
      <c r="T41">
        <v>44.7</v>
      </c>
      <c r="U41">
        <v>42</v>
      </c>
      <c r="V41">
        <v>2.7000000000000028</v>
      </c>
      <c r="W41">
        <v>6.0402684563758449</v>
      </c>
      <c r="X41">
        <v>233</v>
      </c>
      <c r="Y41">
        <v>187</v>
      </c>
      <c r="Z41">
        <v>46</v>
      </c>
      <c r="AA41">
        <v>19.742489270386265</v>
      </c>
      <c r="AB41">
        <v>11.6</v>
      </c>
      <c r="AC41">
        <v>11.9</v>
      </c>
      <c r="AD41">
        <v>-0.30000000000000071</v>
      </c>
      <c r="AE41">
        <v>14.4</v>
      </c>
      <c r="AF41">
        <v>15.2</v>
      </c>
      <c r="AG41">
        <v>-0.79999999999999893</v>
      </c>
      <c r="AH41">
        <v>3532</v>
      </c>
      <c r="AI41">
        <v>75</v>
      </c>
      <c r="AJ41">
        <v>89</v>
      </c>
      <c r="AK41">
        <v>348</v>
      </c>
      <c r="AL41">
        <v>1209</v>
      </c>
      <c r="AM41" s="2">
        <v>13.8</v>
      </c>
      <c r="AN41" s="2">
        <v>89</v>
      </c>
      <c r="AO41">
        <v>4.2</v>
      </c>
      <c r="AP41">
        <v>3</v>
      </c>
      <c r="AQ41" s="2" t="s">
        <v>81</v>
      </c>
      <c r="AR41">
        <v>57</v>
      </c>
      <c r="AS41">
        <v>4.7E-2</v>
      </c>
    </row>
    <row r="42" spans="10:45" x14ac:dyDescent="0.3">
      <c r="J42">
        <v>41</v>
      </c>
      <c r="K42" t="s">
        <v>81</v>
      </c>
      <c r="L42">
        <v>25</v>
      </c>
      <c r="M42" t="s">
        <v>120</v>
      </c>
      <c r="N42">
        <v>60</v>
      </c>
      <c r="O42">
        <v>177</v>
      </c>
      <c r="P42">
        <v>15.6</v>
      </c>
      <c r="Q42">
        <v>15</v>
      </c>
      <c r="R42">
        <v>0.59999999999999964</v>
      </c>
      <c r="S42">
        <v>3.8461538461538445</v>
      </c>
      <c r="T42">
        <v>45.5</v>
      </c>
      <c r="U42">
        <v>45.2</v>
      </c>
      <c r="V42">
        <v>0.29999999999999716</v>
      </c>
      <c r="W42">
        <v>0.65934065934065311</v>
      </c>
      <c r="X42">
        <v>245</v>
      </c>
      <c r="Y42">
        <v>164</v>
      </c>
      <c r="Z42">
        <v>81</v>
      </c>
      <c r="AA42">
        <v>33.061224489795919</v>
      </c>
      <c r="AB42">
        <v>10.1</v>
      </c>
      <c r="AC42">
        <v>10.5</v>
      </c>
      <c r="AD42">
        <v>-0.40000000000000036</v>
      </c>
      <c r="AE42">
        <v>12.1</v>
      </c>
      <c r="AF42">
        <v>13.3</v>
      </c>
      <c r="AG42">
        <v>-1.2000000000000011</v>
      </c>
      <c r="AH42">
        <v>3094</v>
      </c>
      <c r="AI42">
        <v>75</v>
      </c>
      <c r="AJ42">
        <v>82</v>
      </c>
      <c r="AK42">
        <v>325</v>
      </c>
      <c r="AL42">
        <v>1089</v>
      </c>
      <c r="AM42" s="2">
        <v>15.6</v>
      </c>
      <c r="AN42" s="2">
        <v>82</v>
      </c>
      <c r="AO42">
        <v>3.53</v>
      </c>
      <c r="AP42">
        <v>3</v>
      </c>
      <c r="AQ42" s="2" t="s">
        <v>81</v>
      </c>
      <c r="AR42">
        <v>56</v>
      </c>
      <c r="AS42">
        <v>4.2999999999999997E-2</v>
      </c>
    </row>
    <row r="43" spans="10:45" x14ac:dyDescent="0.3">
      <c r="J43">
        <v>42</v>
      </c>
      <c r="K43" t="s">
        <v>81</v>
      </c>
      <c r="L43">
        <v>30</v>
      </c>
      <c r="M43" t="s">
        <v>117</v>
      </c>
      <c r="N43">
        <v>73</v>
      </c>
      <c r="O43">
        <v>175</v>
      </c>
      <c r="P43">
        <v>15.4</v>
      </c>
      <c r="Q43">
        <v>15.1</v>
      </c>
      <c r="R43">
        <v>0.30000000000000071</v>
      </c>
      <c r="S43">
        <v>1.9480519480519525</v>
      </c>
      <c r="T43">
        <v>43.2</v>
      </c>
      <c r="U43">
        <v>42.6</v>
      </c>
      <c r="V43">
        <v>0.60000000000000142</v>
      </c>
      <c r="W43">
        <v>1.3888888888888922</v>
      </c>
      <c r="X43">
        <v>253</v>
      </c>
      <c r="Y43">
        <v>188</v>
      </c>
      <c r="Z43">
        <v>65</v>
      </c>
      <c r="AA43">
        <v>25.691699604743086</v>
      </c>
      <c r="AB43">
        <v>10.7</v>
      </c>
      <c r="AC43">
        <v>11.2</v>
      </c>
      <c r="AD43">
        <v>-0.5</v>
      </c>
      <c r="AE43">
        <v>15.3</v>
      </c>
      <c r="AF43">
        <v>15.5</v>
      </c>
      <c r="AG43">
        <v>-0.19999999999999929</v>
      </c>
      <c r="AH43">
        <v>3096</v>
      </c>
      <c r="AI43">
        <v>75</v>
      </c>
      <c r="AJ43">
        <v>82</v>
      </c>
      <c r="AK43">
        <v>349</v>
      </c>
      <c r="AL43">
        <v>973</v>
      </c>
      <c r="AM43" s="2">
        <v>15.4</v>
      </c>
      <c r="AN43" s="2">
        <v>82</v>
      </c>
      <c r="AO43">
        <v>3.39</v>
      </c>
      <c r="AP43">
        <v>2</v>
      </c>
      <c r="AQ43" s="2" t="s">
        <v>81</v>
      </c>
      <c r="AR43">
        <v>50</v>
      </c>
      <c r="AS43">
        <v>4.1000000000000002E-2</v>
      </c>
    </row>
    <row r="44" spans="10:45" x14ac:dyDescent="0.3">
      <c r="J44">
        <v>43</v>
      </c>
      <c r="K44" t="s">
        <v>81</v>
      </c>
      <c r="L44">
        <v>19</v>
      </c>
      <c r="M44" t="s">
        <v>122</v>
      </c>
      <c r="N44">
        <v>96</v>
      </c>
      <c r="O44">
        <v>180</v>
      </c>
      <c r="P44">
        <v>16.8</v>
      </c>
      <c r="Q44">
        <v>16.5</v>
      </c>
      <c r="R44">
        <v>0.30000000000000071</v>
      </c>
      <c r="S44">
        <v>1.7857142857142898</v>
      </c>
      <c r="T44">
        <v>47.8</v>
      </c>
      <c r="U44">
        <v>46.8</v>
      </c>
      <c r="V44">
        <v>1</v>
      </c>
      <c r="W44">
        <v>2.0920502092050213</v>
      </c>
      <c r="X44">
        <v>453</v>
      </c>
      <c r="Y44">
        <v>370</v>
      </c>
      <c r="Z44">
        <v>83</v>
      </c>
      <c r="AA44">
        <v>18.322295805739515</v>
      </c>
      <c r="AB44">
        <v>8.8000000000000007</v>
      </c>
      <c r="AC44">
        <v>9.1</v>
      </c>
      <c r="AD44">
        <v>-0.29999999999999893</v>
      </c>
      <c r="AE44">
        <v>10.6</v>
      </c>
      <c r="AF44">
        <v>10.6</v>
      </c>
      <c r="AG44">
        <v>0</v>
      </c>
      <c r="AH44">
        <v>2037</v>
      </c>
      <c r="AI44">
        <v>75</v>
      </c>
      <c r="AJ44">
        <v>52</v>
      </c>
      <c r="AK44">
        <v>327</v>
      </c>
      <c r="AL44">
        <v>1312</v>
      </c>
      <c r="AM44" s="2">
        <v>16.8</v>
      </c>
      <c r="AN44" s="2">
        <v>52</v>
      </c>
      <c r="AO44">
        <v>4.29</v>
      </c>
      <c r="AP44">
        <v>3</v>
      </c>
      <c r="AQ44" s="2" t="s">
        <v>81</v>
      </c>
      <c r="AR44">
        <v>51</v>
      </c>
      <c r="AS44">
        <v>8.2000000000000003E-2</v>
      </c>
    </row>
    <row r="45" spans="10:45" x14ac:dyDescent="0.3">
      <c r="J45">
        <v>44</v>
      </c>
      <c r="K45" t="s">
        <v>81</v>
      </c>
      <c r="L45">
        <v>22</v>
      </c>
      <c r="M45" t="s">
        <v>119</v>
      </c>
      <c r="N45">
        <v>60</v>
      </c>
      <c r="O45">
        <v>172</v>
      </c>
      <c r="P45">
        <v>14.4</v>
      </c>
      <c r="Q45">
        <v>13.9</v>
      </c>
      <c r="R45">
        <v>0.5</v>
      </c>
      <c r="S45">
        <v>3.4722222222222223</v>
      </c>
      <c r="T45">
        <v>42.6</v>
      </c>
      <c r="U45">
        <v>40.9</v>
      </c>
      <c r="V45">
        <v>1.7000000000000028</v>
      </c>
      <c r="W45">
        <v>3.9906103286385037</v>
      </c>
      <c r="X45">
        <v>268</v>
      </c>
      <c r="Y45">
        <v>174</v>
      </c>
      <c r="Z45">
        <v>94</v>
      </c>
      <c r="AA45">
        <v>35.074626865671647</v>
      </c>
      <c r="AB45">
        <v>10.5</v>
      </c>
      <c r="AC45">
        <v>11</v>
      </c>
      <c r="AD45">
        <v>-0.5</v>
      </c>
      <c r="AE45">
        <v>13.9</v>
      </c>
      <c r="AF45">
        <v>14.2</v>
      </c>
      <c r="AG45">
        <v>-0.29999999999999893</v>
      </c>
      <c r="AH45">
        <v>3075</v>
      </c>
      <c r="AI45">
        <v>75</v>
      </c>
      <c r="AJ45">
        <v>82</v>
      </c>
      <c r="AK45">
        <v>325</v>
      </c>
      <c r="AL45">
        <v>1207</v>
      </c>
      <c r="AM45" s="2">
        <v>14.4</v>
      </c>
      <c r="AN45" s="2">
        <v>82</v>
      </c>
      <c r="AO45">
        <v>3.92</v>
      </c>
      <c r="AP45">
        <v>3</v>
      </c>
      <c r="AQ45" s="2" t="s">
        <v>81</v>
      </c>
      <c r="AR45">
        <v>58</v>
      </c>
      <c r="AS45">
        <v>4.7E-2</v>
      </c>
    </row>
    <row r="46" spans="10:45" x14ac:dyDescent="0.3">
      <c r="J46">
        <v>45</v>
      </c>
      <c r="K46" t="s">
        <v>81</v>
      </c>
      <c r="L46">
        <v>29</v>
      </c>
      <c r="M46" t="s">
        <v>120</v>
      </c>
      <c r="N46">
        <v>75</v>
      </c>
      <c r="O46">
        <v>176</v>
      </c>
      <c r="P46">
        <v>15.2</v>
      </c>
      <c r="Q46">
        <v>14.8</v>
      </c>
      <c r="R46">
        <v>0.39999999999999858</v>
      </c>
      <c r="S46">
        <v>2.6315789473684119</v>
      </c>
      <c r="T46">
        <v>43.5</v>
      </c>
      <c r="U46">
        <v>42</v>
      </c>
      <c r="V46">
        <v>1.5</v>
      </c>
      <c r="W46">
        <v>3.4482758620689653</v>
      </c>
      <c r="X46">
        <v>310</v>
      </c>
      <c r="Y46">
        <v>215</v>
      </c>
      <c r="Z46">
        <v>95</v>
      </c>
      <c r="AA46">
        <v>30.64516129032258</v>
      </c>
      <c r="AB46">
        <v>10.1</v>
      </c>
      <c r="AC46">
        <v>10.4</v>
      </c>
      <c r="AD46">
        <v>-0.30000000000000071</v>
      </c>
      <c r="AE46">
        <v>11.9</v>
      </c>
      <c r="AF46">
        <v>12.8</v>
      </c>
      <c r="AG46">
        <v>-0.90000000000000036</v>
      </c>
      <c r="AH46">
        <v>3050</v>
      </c>
      <c r="AI46">
        <v>76</v>
      </c>
      <c r="AJ46">
        <v>72</v>
      </c>
      <c r="AK46">
        <v>331</v>
      </c>
      <c r="AL46">
        <v>1095</v>
      </c>
      <c r="AM46" s="2">
        <v>15.2</v>
      </c>
      <c r="AN46" s="2">
        <v>72</v>
      </c>
      <c r="AO46">
        <v>3.62</v>
      </c>
      <c r="AP46">
        <v>3</v>
      </c>
      <c r="AQ46" s="2" t="s">
        <v>81</v>
      </c>
      <c r="AR46">
        <v>45</v>
      </c>
      <c r="AS46">
        <v>0.05</v>
      </c>
    </row>
    <row r="47" spans="10:45" x14ac:dyDescent="0.3">
      <c r="J47">
        <v>46</v>
      </c>
      <c r="K47" t="s">
        <v>81</v>
      </c>
      <c r="L47">
        <v>34</v>
      </c>
      <c r="M47" t="s">
        <v>117</v>
      </c>
      <c r="N47">
        <v>80</v>
      </c>
      <c r="O47">
        <v>180</v>
      </c>
      <c r="P47">
        <v>14.7</v>
      </c>
      <c r="Q47">
        <v>14.4</v>
      </c>
      <c r="R47">
        <v>0.29999999999999893</v>
      </c>
      <c r="S47">
        <v>2.0408163265306052</v>
      </c>
      <c r="T47">
        <v>44.1</v>
      </c>
      <c r="U47">
        <v>42.9</v>
      </c>
      <c r="V47">
        <v>1.2000000000000028</v>
      </c>
      <c r="W47">
        <v>2.7210884353741562</v>
      </c>
      <c r="X47">
        <v>275</v>
      </c>
      <c r="Y47">
        <v>190</v>
      </c>
      <c r="Z47">
        <v>85</v>
      </c>
      <c r="AA47">
        <v>30.909090909090907</v>
      </c>
      <c r="AB47">
        <v>9.8000000000000007</v>
      </c>
      <c r="AC47">
        <v>10</v>
      </c>
      <c r="AD47">
        <v>-0.19999999999999929</v>
      </c>
      <c r="AE47">
        <v>10.7</v>
      </c>
      <c r="AF47">
        <v>11.2</v>
      </c>
      <c r="AG47">
        <v>-0.5</v>
      </c>
      <c r="AH47">
        <v>2820</v>
      </c>
      <c r="AI47">
        <v>74</v>
      </c>
      <c r="AJ47">
        <v>70</v>
      </c>
      <c r="AK47">
        <v>320</v>
      </c>
      <c r="AL47">
        <v>1028</v>
      </c>
      <c r="AM47" s="2">
        <v>14.7</v>
      </c>
      <c r="AN47" s="2">
        <v>70</v>
      </c>
      <c r="AO47">
        <v>3.28</v>
      </c>
      <c r="AP47">
        <v>2</v>
      </c>
      <c r="AQ47" s="2" t="s">
        <v>81</v>
      </c>
      <c r="AR47">
        <v>50</v>
      </c>
      <c r="AS47">
        <v>4.5999999999999999E-2</v>
      </c>
    </row>
    <row r="48" spans="10:45" x14ac:dyDescent="0.3">
      <c r="J48">
        <v>47</v>
      </c>
      <c r="K48" t="s">
        <v>81</v>
      </c>
      <c r="L48">
        <v>22</v>
      </c>
      <c r="M48" t="s">
        <v>119</v>
      </c>
      <c r="N48">
        <v>70</v>
      </c>
      <c r="O48">
        <v>168</v>
      </c>
      <c r="P48">
        <v>14.5</v>
      </c>
      <c r="Q48">
        <v>14.1</v>
      </c>
      <c r="R48">
        <v>0.40000000000000036</v>
      </c>
      <c r="S48">
        <v>2.7586206896551748</v>
      </c>
      <c r="T48">
        <v>41.8</v>
      </c>
      <c r="U48">
        <v>40.4</v>
      </c>
      <c r="V48">
        <v>1.3999999999999986</v>
      </c>
      <c r="W48">
        <v>3.3492822966507143</v>
      </c>
      <c r="X48">
        <v>355</v>
      </c>
      <c r="Y48">
        <v>265</v>
      </c>
      <c r="Z48">
        <v>90</v>
      </c>
      <c r="AA48">
        <v>25.352112676056336</v>
      </c>
      <c r="AB48">
        <v>10.5</v>
      </c>
      <c r="AC48">
        <v>10.8</v>
      </c>
      <c r="AD48">
        <v>-0.30000000000000071</v>
      </c>
      <c r="AE48">
        <v>12.4</v>
      </c>
      <c r="AF48">
        <v>12.9</v>
      </c>
      <c r="AG48">
        <v>-0.5</v>
      </c>
      <c r="AH48">
        <v>3225</v>
      </c>
      <c r="AI48">
        <v>77</v>
      </c>
      <c r="AJ48">
        <v>75</v>
      </c>
      <c r="AK48">
        <v>340</v>
      </c>
      <c r="AL48">
        <v>1172</v>
      </c>
      <c r="AM48" s="2">
        <v>14.5</v>
      </c>
      <c r="AN48" s="2">
        <v>75</v>
      </c>
      <c r="AO48">
        <v>3.98</v>
      </c>
      <c r="AP48">
        <v>3</v>
      </c>
      <c r="AQ48" s="2" t="s">
        <v>81</v>
      </c>
      <c r="AR48">
        <v>40</v>
      </c>
      <c r="AS48">
        <v>5.2999999999999999E-2</v>
      </c>
    </row>
    <row r="49" spans="10:45" x14ac:dyDescent="0.3">
      <c r="J49">
        <v>48</v>
      </c>
      <c r="K49" t="s">
        <v>81</v>
      </c>
      <c r="L49">
        <v>31</v>
      </c>
      <c r="M49" t="s">
        <v>117</v>
      </c>
      <c r="N49">
        <v>72</v>
      </c>
      <c r="O49">
        <v>174</v>
      </c>
      <c r="P49">
        <v>15</v>
      </c>
      <c r="Q49">
        <v>14.6</v>
      </c>
      <c r="R49">
        <v>0.40000000000000036</v>
      </c>
      <c r="S49">
        <v>2.6666666666666687</v>
      </c>
      <c r="T49">
        <v>43.2</v>
      </c>
      <c r="U49">
        <v>41.7</v>
      </c>
      <c r="V49">
        <v>1.5</v>
      </c>
      <c r="W49">
        <v>3.4722222222222219</v>
      </c>
      <c r="X49">
        <v>296</v>
      </c>
      <c r="Y49">
        <v>208</v>
      </c>
      <c r="Z49">
        <v>88</v>
      </c>
      <c r="AA49">
        <v>29.72972972972973</v>
      </c>
      <c r="AB49">
        <v>9.6</v>
      </c>
      <c r="AC49">
        <v>10</v>
      </c>
      <c r="AD49">
        <v>-0.40000000000000036</v>
      </c>
      <c r="AE49">
        <v>11.5</v>
      </c>
      <c r="AF49">
        <v>12.4</v>
      </c>
      <c r="AG49">
        <v>-0.90000000000000036</v>
      </c>
      <c r="AH49">
        <v>2895</v>
      </c>
      <c r="AI49">
        <v>75</v>
      </c>
      <c r="AJ49">
        <v>71</v>
      </c>
      <c r="AK49">
        <v>336</v>
      </c>
      <c r="AL49">
        <v>1136</v>
      </c>
      <c r="AM49" s="2">
        <v>15</v>
      </c>
      <c r="AN49" s="2">
        <v>71</v>
      </c>
      <c r="AO49">
        <v>3.81</v>
      </c>
      <c r="AP49">
        <v>3</v>
      </c>
      <c r="AQ49" s="2" t="s">
        <v>81</v>
      </c>
      <c r="AR49">
        <v>52</v>
      </c>
      <c r="AS49">
        <v>5.2999999999999999E-2</v>
      </c>
    </row>
    <row r="50" spans="10:45" x14ac:dyDescent="0.3">
      <c r="J50">
        <v>49</v>
      </c>
      <c r="K50" t="s">
        <v>81</v>
      </c>
      <c r="L50">
        <v>27</v>
      </c>
      <c r="M50" t="s">
        <v>120</v>
      </c>
      <c r="N50">
        <v>78</v>
      </c>
      <c r="O50">
        <v>179</v>
      </c>
      <c r="P50">
        <v>14.8</v>
      </c>
      <c r="Q50">
        <v>14.5</v>
      </c>
      <c r="R50">
        <v>0.30000000000000071</v>
      </c>
      <c r="S50">
        <v>2.0270270270270316</v>
      </c>
      <c r="T50">
        <v>42.6</v>
      </c>
      <c r="U50">
        <v>41.8</v>
      </c>
      <c r="V50">
        <v>0.80000000000000426</v>
      </c>
      <c r="W50">
        <v>1.8779342723004795</v>
      </c>
      <c r="X50">
        <v>330</v>
      </c>
      <c r="Y50">
        <v>225</v>
      </c>
      <c r="Z50">
        <v>105</v>
      </c>
      <c r="AA50">
        <v>31.818181818181817</v>
      </c>
      <c r="AB50">
        <v>10.3</v>
      </c>
      <c r="AC50">
        <v>10.5</v>
      </c>
      <c r="AD50">
        <v>-0.19999999999999929</v>
      </c>
      <c r="AE50">
        <v>12.1</v>
      </c>
      <c r="AF50">
        <v>12.6</v>
      </c>
      <c r="AG50">
        <v>-0.5</v>
      </c>
      <c r="AH50">
        <v>3005</v>
      </c>
      <c r="AI50">
        <v>78</v>
      </c>
      <c r="AJ50">
        <v>73</v>
      </c>
      <c r="AK50">
        <v>333</v>
      </c>
      <c r="AL50">
        <v>1118</v>
      </c>
      <c r="AM50" s="2">
        <v>14.8</v>
      </c>
      <c r="AN50" s="2">
        <v>73</v>
      </c>
      <c r="AO50">
        <v>3.72</v>
      </c>
      <c r="AP50">
        <v>3</v>
      </c>
      <c r="AQ50" s="2" t="s">
        <v>81</v>
      </c>
      <c r="AR50">
        <v>45</v>
      </c>
      <c r="AS50">
        <v>0.05</v>
      </c>
    </row>
    <row r="51" spans="10:45" x14ac:dyDescent="0.3">
      <c r="J51">
        <v>50</v>
      </c>
      <c r="K51" t="s">
        <v>81</v>
      </c>
      <c r="L51">
        <v>32</v>
      </c>
      <c r="M51" t="s">
        <v>117</v>
      </c>
      <c r="N51">
        <v>82</v>
      </c>
      <c r="O51">
        <v>178</v>
      </c>
      <c r="P51">
        <v>15.6</v>
      </c>
      <c r="Q51">
        <v>15.1</v>
      </c>
      <c r="R51">
        <v>0.5</v>
      </c>
      <c r="S51">
        <v>3.2051282051282057</v>
      </c>
      <c r="T51">
        <v>45.2</v>
      </c>
      <c r="U51">
        <v>43.6</v>
      </c>
      <c r="V51">
        <v>1.6000000000000014</v>
      </c>
      <c r="W51">
        <v>3.5398230088495604</v>
      </c>
      <c r="X51">
        <v>288</v>
      </c>
      <c r="Y51">
        <v>200</v>
      </c>
      <c r="Z51">
        <v>88</v>
      </c>
      <c r="AA51">
        <v>30.555555555555557</v>
      </c>
      <c r="AB51">
        <v>10.199999999999999</v>
      </c>
      <c r="AC51">
        <v>10.6</v>
      </c>
      <c r="AD51">
        <v>-0.40000000000000036</v>
      </c>
      <c r="AE51">
        <v>11.5</v>
      </c>
      <c r="AF51">
        <v>12.7</v>
      </c>
      <c r="AG51">
        <v>-1.1999999999999993</v>
      </c>
      <c r="AH51">
        <v>3120</v>
      </c>
      <c r="AI51">
        <v>75</v>
      </c>
      <c r="AJ51">
        <v>74</v>
      </c>
      <c r="AK51">
        <v>335</v>
      </c>
      <c r="AL51">
        <v>1145</v>
      </c>
      <c r="AM51" s="2">
        <v>15.6</v>
      </c>
      <c r="AN51" s="2">
        <v>74</v>
      </c>
      <c r="AO51">
        <v>3.83</v>
      </c>
      <c r="AP51">
        <v>3</v>
      </c>
      <c r="AQ51" s="2" t="s">
        <v>81</v>
      </c>
      <c r="AR51">
        <v>50</v>
      </c>
      <c r="AS51">
        <v>5.0999999999999997E-2</v>
      </c>
    </row>
    <row r="52" spans="10:45" x14ac:dyDescent="0.3">
      <c r="J52">
        <v>51</v>
      </c>
      <c r="K52" t="s">
        <v>81</v>
      </c>
      <c r="L52">
        <v>25</v>
      </c>
      <c r="M52" t="s">
        <v>120</v>
      </c>
      <c r="N52">
        <v>71</v>
      </c>
      <c r="O52">
        <v>169</v>
      </c>
      <c r="P52">
        <v>14.4</v>
      </c>
      <c r="Q52">
        <v>14.1</v>
      </c>
      <c r="R52">
        <v>0.30000000000000071</v>
      </c>
      <c r="S52">
        <v>2.0833333333333379</v>
      </c>
      <c r="T52">
        <v>41.9</v>
      </c>
      <c r="U52">
        <v>40.5</v>
      </c>
      <c r="V52">
        <v>1.3999999999999986</v>
      </c>
      <c r="W52">
        <v>3.3412887828162257</v>
      </c>
      <c r="X52">
        <v>342</v>
      </c>
      <c r="Y52">
        <v>240</v>
      </c>
      <c r="Z52">
        <v>102</v>
      </c>
      <c r="AA52">
        <v>29.82456140350877</v>
      </c>
      <c r="AB52">
        <v>9.9</v>
      </c>
      <c r="AC52">
        <v>10.199999999999999</v>
      </c>
      <c r="AD52">
        <v>-0.29999999999999893</v>
      </c>
      <c r="AE52">
        <v>12</v>
      </c>
      <c r="AF52">
        <v>12.8</v>
      </c>
      <c r="AG52">
        <v>-0.80000000000000071</v>
      </c>
      <c r="AH52">
        <v>2980</v>
      </c>
      <c r="AI52">
        <v>76</v>
      </c>
      <c r="AJ52">
        <v>71</v>
      </c>
      <c r="AK52">
        <v>328</v>
      </c>
      <c r="AL52">
        <v>1092</v>
      </c>
      <c r="AM52" s="2">
        <v>14.4</v>
      </c>
      <c r="AN52" s="2">
        <v>71</v>
      </c>
      <c r="AO52">
        <v>3.58</v>
      </c>
      <c r="AP52">
        <v>3</v>
      </c>
      <c r="AQ52" s="2" t="s">
        <v>81</v>
      </c>
      <c r="AR52">
        <v>41</v>
      </c>
      <c r="AS52">
        <v>0.05</v>
      </c>
    </row>
    <row r="53" spans="10:45" x14ac:dyDescent="0.3">
      <c r="J53">
        <v>52</v>
      </c>
      <c r="K53" t="s">
        <v>81</v>
      </c>
      <c r="L53">
        <v>36</v>
      </c>
      <c r="M53" t="s">
        <v>118</v>
      </c>
      <c r="N53">
        <v>76</v>
      </c>
      <c r="O53">
        <v>182</v>
      </c>
      <c r="P53">
        <v>15</v>
      </c>
      <c r="Q53">
        <v>14.6</v>
      </c>
      <c r="R53">
        <v>0.40000000000000036</v>
      </c>
      <c r="S53">
        <v>2.6666666666666687</v>
      </c>
      <c r="T53">
        <v>43.6</v>
      </c>
      <c r="U53">
        <v>42.2</v>
      </c>
      <c r="V53">
        <v>1.3999999999999986</v>
      </c>
      <c r="W53">
        <v>3.2110091743119233</v>
      </c>
      <c r="X53">
        <v>277</v>
      </c>
      <c r="Y53">
        <v>190</v>
      </c>
      <c r="Z53">
        <v>87</v>
      </c>
      <c r="AA53">
        <v>31.40794223826715</v>
      </c>
      <c r="AB53">
        <v>10.4</v>
      </c>
      <c r="AC53">
        <v>10.7</v>
      </c>
      <c r="AD53">
        <v>-0.29999999999999893</v>
      </c>
      <c r="AE53">
        <v>10.9</v>
      </c>
      <c r="AF53">
        <v>11.5</v>
      </c>
      <c r="AG53">
        <v>-0.59999999999999964</v>
      </c>
      <c r="AH53">
        <v>3255</v>
      </c>
      <c r="AI53">
        <v>74</v>
      </c>
      <c r="AJ53">
        <v>76</v>
      </c>
      <c r="AK53">
        <v>338</v>
      </c>
      <c r="AL53">
        <v>1160</v>
      </c>
      <c r="AM53" s="2">
        <v>15</v>
      </c>
      <c r="AN53" s="2">
        <v>76</v>
      </c>
      <c r="AO53">
        <v>3.92</v>
      </c>
      <c r="AP53">
        <v>3</v>
      </c>
      <c r="AQ53" s="2" t="s">
        <v>81</v>
      </c>
      <c r="AR53">
        <v>52</v>
      </c>
      <c r="AS53">
        <v>5.0999999999999997E-2</v>
      </c>
    </row>
    <row r="54" spans="10:45" x14ac:dyDescent="0.3">
      <c r="J54">
        <v>53</v>
      </c>
      <c r="K54" t="s">
        <v>81</v>
      </c>
      <c r="L54">
        <v>28</v>
      </c>
      <c r="M54" t="s">
        <v>120</v>
      </c>
      <c r="N54">
        <v>69</v>
      </c>
      <c r="O54">
        <v>170</v>
      </c>
      <c r="P54">
        <v>14.2</v>
      </c>
      <c r="Q54">
        <v>13.9</v>
      </c>
      <c r="R54">
        <v>0.29999999999999893</v>
      </c>
      <c r="S54">
        <v>2.1126760563380209</v>
      </c>
      <c r="T54">
        <v>40.799999999999997</v>
      </c>
      <c r="U54">
        <v>39.6</v>
      </c>
      <c r="V54">
        <v>1.1999999999999957</v>
      </c>
      <c r="W54">
        <v>2.9411764705882253</v>
      </c>
      <c r="X54">
        <v>305</v>
      </c>
      <c r="Y54">
        <v>215</v>
      </c>
      <c r="Z54">
        <v>90</v>
      </c>
      <c r="AA54">
        <v>29.508196721311474</v>
      </c>
      <c r="AB54">
        <v>9.6999999999999993</v>
      </c>
      <c r="AC54">
        <v>10.1</v>
      </c>
      <c r="AD54">
        <v>-0.40000000000000036</v>
      </c>
      <c r="AE54">
        <v>11.2</v>
      </c>
      <c r="AF54">
        <v>12</v>
      </c>
      <c r="AG54">
        <v>-0.80000000000000071</v>
      </c>
      <c r="AH54">
        <v>2890</v>
      </c>
      <c r="AI54">
        <v>78</v>
      </c>
      <c r="AJ54">
        <v>70</v>
      </c>
      <c r="AK54">
        <v>330</v>
      </c>
      <c r="AL54">
        <v>1103</v>
      </c>
      <c r="AM54" s="2">
        <v>14.2</v>
      </c>
      <c r="AN54" s="2">
        <v>70</v>
      </c>
      <c r="AO54">
        <v>3.63</v>
      </c>
      <c r="AP54">
        <v>3</v>
      </c>
      <c r="AQ54" s="2" t="s">
        <v>81</v>
      </c>
      <c r="AR54">
        <v>48</v>
      </c>
      <c r="AS54">
        <v>5.0999999999999997E-2</v>
      </c>
    </row>
    <row r="55" spans="10:45" x14ac:dyDescent="0.3">
      <c r="J55">
        <v>54</v>
      </c>
      <c r="K55" t="s">
        <v>81</v>
      </c>
      <c r="L55">
        <v>24</v>
      </c>
      <c r="M55" t="s">
        <v>119</v>
      </c>
      <c r="N55">
        <v>74</v>
      </c>
      <c r="O55">
        <v>174</v>
      </c>
      <c r="P55">
        <v>14.9</v>
      </c>
      <c r="Q55">
        <v>14.4</v>
      </c>
      <c r="R55">
        <v>0.5</v>
      </c>
      <c r="S55">
        <v>3.3557046979865772</v>
      </c>
      <c r="T55">
        <v>42.7</v>
      </c>
      <c r="U55">
        <v>41.5</v>
      </c>
      <c r="V55">
        <v>1.2000000000000028</v>
      </c>
      <c r="W55">
        <v>2.8103044496487186</v>
      </c>
      <c r="X55">
        <v>315</v>
      </c>
      <c r="Y55">
        <v>218</v>
      </c>
      <c r="Z55">
        <v>97</v>
      </c>
      <c r="AA55">
        <v>30.793650793650794</v>
      </c>
      <c r="AB55">
        <v>9.5</v>
      </c>
      <c r="AC55">
        <v>9.8000000000000007</v>
      </c>
      <c r="AD55">
        <v>-0.30000000000000071</v>
      </c>
      <c r="AE55">
        <v>10.7</v>
      </c>
      <c r="AF55">
        <v>11.4</v>
      </c>
      <c r="AG55">
        <v>-0.70000000000000107</v>
      </c>
      <c r="AH55">
        <v>3000</v>
      </c>
      <c r="AI55">
        <v>77</v>
      </c>
      <c r="AJ55">
        <v>72</v>
      </c>
      <c r="AK55">
        <v>332</v>
      </c>
      <c r="AL55">
        <v>1116</v>
      </c>
      <c r="AM55" s="2">
        <v>14.9</v>
      </c>
      <c r="AN55" s="2">
        <v>72</v>
      </c>
      <c r="AO55">
        <v>3.7</v>
      </c>
      <c r="AP55">
        <v>3</v>
      </c>
      <c r="AQ55" s="2" t="s">
        <v>81</v>
      </c>
      <c r="AR55">
        <v>46</v>
      </c>
      <c r="AS55">
        <v>5.0999999999999997E-2</v>
      </c>
    </row>
    <row r="56" spans="10:45" x14ac:dyDescent="0.3">
      <c r="J56">
        <v>55</v>
      </c>
      <c r="K56" t="s">
        <v>81</v>
      </c>
      <c r="L56">
        <v>33</v>
      </c>
      <c r="M56" t="s">
        <v>117</v>
      </c>
      <c r="N56">
        <v>80</v>
      </c>
      <c r="O56">
        <v>180</v>
      </c>
      <c r="P56">
        <v>15.5</v>
      </c>
      <c r="Q56">
        <v>15</v>
      </c>
      <c r="R56">
        <v>0.5</v>
      </c>
      <c r="S56">
        <v>3.225806451612903</v>
      </c>
      <c r="T56">
        <v>44.9</v>
      </c>
      <c r="U56">
        <v>43.3</v>
      </c>
      <c r="V56">
        <v>1.6000000000000014</v>
      </c>
      <c r="W56">
        <v>3.563474387527843</v>
      </c>
      <c r="X56">
        <v>298</v>
      </c>
      <c r="Y56">
        <v>207</v>
      </c>
      <c r="Z56">
        <v>91</v>
      </c>
      <c r="AA56">
        <v>30.536912751677853</v>
      </c>
      <c r="AB56">
        <v>10</v>
      </c>
      <c r="AC56">
        <v>10.3</v>
      </c>
      <c r="AD56">
        <v>-0.30000000000000071</v>
      </c>
      <c r="AE56">
        <v>11.8</v>
      </c>
      <c r="AF56">
        <v>12.6</v>
      </c>
      <c r="AG56">
        <v>-0.79999999999999893</v>
      </c>
      <c r="AH56">
        <v>3180</v>
      </c>
      <c r="AI56">
        <v>75</v>
      </c>
      <c r="AJ56">
        <v>75</v>
      </c>
      <c r="AK56">
        <v>337</v>
      </c>
      <c r="AL56">
        <v>1154</v>
      </c>
      <c r="AM56" s="2">
        <v>15.5</v>
      </c>
      <c r="AN56" s="2">
        <v>75</v>
      </c>
      <c r="AO56">
        <v>3.88</v>
      </c>
      <c r="AP56">
        <v>3</v>
      </c>
      <c r="AQ56" s="2" t="s">
        <v>81</v>
      </c>
      <c r="AR56">
        <v>48</v>
      </c>
      <c r="AS56">
        <v>5.0999999999999997E-2</v>
      </c>
    </row>
    <row r="57" spans="10:45" x14ac:dyDescent="0.3">
      <c r="J57">
        <v>56</v>
      </c>
      <c r="K57" t="s">
        <v>81</v>
      </c>
      <c r="L57">
        <v>26</v>
      </c>
      <c r="M57" t="s">
        <v>120</v>
      </c>
      <c r="N57">
        <v>77</v>
      </c>
      <c r="O57">
        <v>174</v>
      </c>
      <c r="P57">
        <v>14.7</v>
      </c>
      <c r="Q57">
        <v>14.4</v>
      </c>
      <c r="R57">
        <v>0.29999999999999893</v>
      </c>
      <c r="S57">
        <v>2.0408163265306052</v>
      </c>
      <c r="T57">
        <v>43.2</v>
      </c>
      <c r="U57">
        <v>41.8</v>
      </c>
      <c r="V57">
        <v>1.4000000000000057</v>
      </c>
      <c r="W57">
        <v>3.2407407407407538</v>
      </c>
      <c r="X57">
        <v>360</v>
      </c>
      <c r="Y57">
        <v>265</v>
      </c>
      <c r="Z57">
        <v>95</v>
      </c>
      <c r="AA57">
        <v>26.388888888888889</v>
      </c>
      <c r="AB57">
        <v>10.5</v>
      </c>
      <c r="AC57">
        <v>10.8</v>
      </c>
      <c r="AD57">
        <v>-0.30000000000000071</v>
      </c>
      <c r="AE57">
        <v>12.5</v>
      </c>
      <c r="AF57">
        <v>13.1</v>
      </c>
      <c r="AG57">
        <v>-0.59999999999999964</v>
      </c>
      <c r="AH57">
        <v>3325</v>
      </c>
      <c r="AI57">
        <v>76</v>
      </c>
      <c r="AJ57">
        <v>78</v>
      </c>
      <c r="AK57">
        <v>343</v>
      </c>
      <c r="AL57">
        <v>1203</v>
      </c>
      <c r="AM57" s="2">
        <v>14.7</v>
      </c>
      <c r="AN57" s="2">
        <v>78</v>
      </c>
      <c r="AO57">
        <v>4.12</v>
      </c>
      <c r="AP57">
        <v>3</v>
      </c>
      <c r="AQ57" s="2" t="s">
        <v>81</v>
      </c>
      <c r="AR57">
        <v>40</v>
      </c>
      <c r="AS57">
        <v>5.1999999999999998E-2</v>
      </c>
    </row>
    <row r="58" spans="10:45" x14ac:dyDescent="0.3">
      <c r="J58">
        <v>57</v>
      </c>
      <c r="K58" t="s">
        <v>81</v>
      </c>
      <c r="L58">
        <v>38</v>
      </c>
      <c r="M58" t="s">
        <v>118</v>
      </c>
      <c r="N58">
        <v>68</v>
      </c>
      <c r="O58">
        <v>169</v>
      </c>
      <c r="P58">
        <v>14.3</v>
      </c>
      <c r="Q58">
        <v>14</v>
      </c>
      <c r="R58">
        <v>0.30000000000000071</v>
      </c>
      <c r="S58">
        <v>2.0979020979021028</v>
      </c>
      <c r="T58">
        <v>41.3</v>
      </c>
      <c r="U58">
        <v>39.9</v>
      </c>
      <c r="V58">
        <v>1.3999999999999986</v>
      </c>
      <c r="W58">
        <v>3.3898305084745726</v>
      </c>
      <c r="X58">
        <v>287</v>
      </c>
      <c r="Y58">
        <v>202</v>
      </c>
      <c r="Z58">
        <v>85</v>
      </c>
      <c r="AA58">
        <v>29.616724738675959</v>
      </c>
      <c r="AB58">
        <v>9.6</v>
      </c>
      <c r="AC58">
        <v>10</v>
      </c>
      <c r="AD58">
        <v>-0.40000000000000036</v>
      </c>
      <c r="AE58">
        <v>11.1</v>
      </c>
      <c r="AF58">
        <v>12.2</v>
      </c>
      <c r="AG58">
        <v>-1.0999999999999996</v>
      </c>
      <c r="AH58">
        <v>2950</v>
      </c>
      <c r="AI58">
        <v>75</v>
      </c>
      <c r="AJ58">
        <v>70</v>
      </c>
      <c r="AK58">
        <v>329</v>
      </c>
      <c r="AL58">
        <v>1108</v>
      </c>
      <c r="AM58" s="2">
        <v>14.3</v>
      </c>
      <c r="AN58" s="2">
        <v>70</v>
      </c>
      <c r="AO58">
        <v>3.64</v>
      </c>
      <c r="AP58">
        <v>3</v>
      </c>
      <c r="AQ58" s="2" t="s">
        <v>81</v>
      </c>
      <c r="AR58">
        <v>50</v>
      </c>
      <c r="AS58">
        <v>5.1999999999999998E-2</v>
      </c>
    </row>
    <row r="59" spans="10:45" x14ac:dyDescent="0.3">
      <c r="J59">
        <v>58</v>
      </c>
      <c r="K59" t="s">
        <v>81</v>
      </c>
      <c r="L59">
        <v>29</v>
      </c>
      <c r="M59" t="s">
        <v>120</v>
      </c>
      <c r="N59">
        <v>72</v>
      </c>
      <c r="O59">
        <v>176</v>
      </c>
      <c r="P59">
        <v>15</v>
      </c>
      <c r="Q59">
        <v>14.5</v>
      </c>
      <c r="R59">
        <v>0.5</v>
      </c>
      <c r="S59">
        <v>3.3333333333333335</v>
      </c>
      <c r="T59">
        <v>42.9</v>
      </c>
      <c r="U59">
        <v>41.3</v>
      </c>
      <c r="V59">
        <v>1.6000000000000014</v>
      </c>
      <c r="W59">
        <v>3.729603729603733</v>
      </c>
      <c r="X59">
        <v>335</v>
      </c>
      <c r="Y59">
        <v>230</v>
      </c>
      <c r="Z59">
        <v>105</v>
      </c>
      <c r="AA59">
        <v>31.343283582089555</v>
      </c>
      <c r="AB59">
        <v>10.199999999999999</v>
      </c>
      <c r="AC59">
        <v>10.5</v>
      </c>
      <c r="AD59">
        <v>-0.30000000000000071</v>
      </c>
      <c r="AE59">
        <v>12.2</v>
      </c>
      <c r="AF59">
        <v>12.9</v>
      </c>
      <c r="AG59">
        <v>-0.70000000000000107</v>
      </c>
      <c r="AH59">
        <v>3060</v>
      </c>
      <c r="AI59">
        <v>75</v>
      </c>
      <c r="AJ59">
        <v>80</v>
      </c>
      <c r="AK59">
        <v>334</v>
      </c>
      <c r="AL59">
        <v>1137</v>
      </c>
      <c r="AM59" s="2">
        <v>15</v>
      </c>
      <c r="AN59" s="2">
        <v>80</v>
      </c>
      <c r="AO59">
        <v>3.79</v>
      </c>
      <c r="AP59">
        <v>3</v>
      </c>
      <c r="AQ59" s="2" t="s">
        <v>81</v>
      </c>
      <c r="AR59">
        <v>44</v>
      </c>
      <c r="AS59">
        <v>0.47</v>
      </c>
    </row>
    <row r="60" spans="10:45" x14ac:dyDescent="0.3">
      <c r="J60">
        <v>59</v>
      </c>
      <c r="K60" t="s">
        <v>81</v>
      </c>
      <c r="L60">
        <v>30</v>
      </c>
      <c r="M60" t="s">
        <v>117</v>
      </c>
      <c r="N60">
        <v>79</v>
      </c>
      <c r="O60">
        <v>181</v>
      </c>
      <c r="P60">
        <v>15.1</v>
      </c>
      <c r="Q60">
        <v>14.3</v>
      </c>
      <c r="R60">
        <v>0.79999999999999893</v>
      </c>
      <c r="S60">
        <v>5.2980132450331059</v>
      </c>
      <c r="T60">
        <v>44.1</v>
      </c>
      <c r="U60">
        <v>42.2</v>
      </c>
      <c r="V60">
        <v>1.8999999999999986</v>
      </c>
      <c r="W60">
        <v>4.3083900226757335</v>
      </c>
      <c r="X60">
        <v>299</v>
      </c>
      <c r="Y60">
        <v>208</v>
      </c>
      <c r="Z60">
        <v>91</v>
      </c>
      <c r="AA60">
        <v>30.434782608695656</v>
      </c>
      <c r="AB60">
        <v>10.1</v>
      </c>
      <c r="AC60">
        <v>10.5</v>
      </c>
      <c r="AD60">
        <v>-0.40000000000000036</v>
      </c>
      <c r="AE60">
        <v>11.6</v>
      </c>
      <c r="AF60">
        <v>12.6</v>
      </c>
      <c r="AG60">
        <v>-1</v>
      </c>
      <c r="AH60">
        <v>3195</v>
      </c>
      <c r="AI60">
        <v>75</v>
      </c>
      <c r="AJ60">
        <v>77</v>
      </c>
      <c r="AK60">
        <v>340</v>
      </c>
      <c r="AL60">
        <v>1180</v>
      </c>
      <c r="AM60" s="2">
        <v>15.1</v>
      </c>
      <c r="AN60" s="2">
        <v>77</v>
      </c>
      <c r="AO60">
        <v>4.01</v>
      </c>
      <c r="AP60">
        <v>3</v>
      </c>
      <c r="AQ60" s="2" t="s">
        <v>81</v>
      </c>
      <c r="AR60">
        <v>50</v>
      </c>
      <c r="AS60">
        <v>5.1999999999999998E-2</v>
      </c>
    </row>
    <row r="61" spans="10:45" x14ac:dyDescent="0.3">
      <c r="J61">
        <v>60</v>
      </c>
      <c r="K61" t="s">
        <v>81</v>
      </c>
      <c r="L61">
        <v>29</v>
      </c>
      <c r="M61" t="s">
        <v>120</v>
      </c>
      <c r="N61">
        <v>72</v>
      </c>
      <c r="O61">
        <v>176</v>
      </c>
      <c r="P61">
        <v>14.7</v>
      </c>
      <c r="Q61">
        <v>14.4</v>
      </c>
      <c r="R61">
        <v>0.29999999999999893</v>
      </c>
      <c r="S61">
        <v>2.0408163265306052</v>
      </c>
      <c r="T61">
        <v>41.9</v>
      </c>
      <c r="U61">
        <v>40.5</v>
      </c>
      <c r="V61">
        <v>1.3999999999999986</v>
      </c>
      <c r="W61">
        <v>3.3412887828162257</v>
      </c>
      <c r="X61">
        <v>277</v>
      </c>
      <c r="Y61">
        <v>190</v>
      </c>
      <c r="Z61">
        <v>87</v>
      </c>
      <c r="AA61">
        <v>31.40794223826715</v>
      </c>
      <c r="AB61">
        <v>9.9</v>
      </c>
      <c r="AC61">
        <v>10.6</v>
      </c>
      <c r="AD61">
        <v>-0.69999999999999929</v>
      </c>
      <c r="AE61">
        <v>11.5</v>
      </c>
      <c r="AF61">
        <v>12.4</v>
      </c>
      <c r="AG61">
        <v>-0.90000000000000036</v>
      </c>
      <c r="AH61">
        <v>3325</v>
      </c>
      <c r="AI61">
        <v>75</v>
      </c>
      <c r="AJ61">
        <v>72</v>
      </c>
      <c r="AK61">
        <v>340</v>
      </c>
      <c r="AL61">
        <v>1160</v>
      </c>
      <c r="AM61" s="2">
        <v>14.7</v>
      </c>
      <c r="AN61" s="2">
        <v>72</v>
      </c>
      <c r="AO61">
        <v>3.94</v>
      </c>
      <c r="AP61">
        <v>3</v>
      </c>
      <c r="AQ61" s="2" t="s">
        <v>81</v>
      </c>
      <c r="AR61">
        <v>51</v>
      </c>
      <c r="AS61">
        <v>5.3999999999999999E-2</v>
      </c>
    </row>
    <row r="62" spans="10:45" x14ac:dyDescent="0.3">
      <c r="J62">
        <v>61</v>
      </c>
      <c r="K62" t="s">
        <v>90</v>
      </c>
      <c r="L62">
        <v>36</v>
      </c>
      <c r="M62" t="s">
        <v>118</v>
      </c>
      <c r="N62">
        <v>76</v>
      </c>
      <c r="O62">
        <v>174</v>
      </c>
      <c r="P62">
        <v>14.2</v>
      </c>
      <c r="Q62">
        <v>13.9</v>
      </c>
      <c r="R62">
        <v>0.29999999999999893</v>
      </c>
      <c r="S62">
        <v>2.1126760563380209</v>
      </c>
      <c r="T62">
        <v>42.4</v>
      </c>
      <c r="U62">
        <v>41.2</v>
      </c>
      <c r="V62">
        <v>1.1999999999999957</v>
      </c>
      <c r="W62">
        <v>2.8301886792452731</v>
      </c>
      <c r="X62">
        <v>330</v>
      </c>
      <c r="Y62">
        <v>274</v>
      </c>
      <c r="Z62">
        <v>56</v>
      </c>
      <c r="AA62">
        <v>16.969696969696972</v>
      </c>
      <c r="AB62">
        <v>8.3000000000000007</v>
      </c>
      <c r="AC62">
        <v>8.8000000000000007</v>
      </c>
      <c r="AD62">
        <v>-0.5</v>
      </c>
      <c r="AE62">
        <v>9.6</v>
      </c>
      <c r="AF62">
        <v>10.5</v>
      </c>
      <c r="AG62">
        <v>-0.90000000000000036</v>
      </c>
      <c r="AH62">
        <v>1892</v>
      </c>
      <c r="AI62">
        <v>96</v>
      </c>
      <c r="AJ62">
        <v>39</v>
      </c>
      <c r="AK62">
        <v>261</v>
      </c>
      <c r="AL62">
        <v>1560</v>
      </c>
      <c r="AM62" s="2">
        <v>14.2</v>
      </c>
      <c r="AN62" s="2">
        <v>39</v>
      </c>
      <c r="AO62">
        <v>4.07</v>
      </c>
      <c r="AP62">
        <v>3</v>
      </c>
      <c r="AQ62" s="2" t="s">
        <v>90</v>
      </c>
      <c r="AR62">
        <v>89.38</v>
      </c>
      <c r="AS62">
        <v>0.1</v>
      </c>
    </row>
    <row r="63" spans="10:45" x14ac:dyDescent="0.3">
      <c r="J63">
        <v>62</v>
      </c>
      <c r="K63" t="s">
        <v>90</v>
      </c>
      <c r="L63">
        <v>30</v>
      </c>
      <c r="M63" t="s">
        <v>117</v>
      </c>
      <c r="N63">
        <v>72</v>
      </c>
      <c r="O63">
        <v>165</v>
      </c>
      <c r="P63">
        <v>15.3</v>
      </c>
      <c r="Q63">
        <v>14.8</v>
      </c>
      <c r="R63">
        <v>0.5</v>
      </c>
      <c r="S63">
        <v>3.2679738562091507</v>
      </c>
      <c r="T63">
        <v>41.7</v>
      </c>
      <c r="U63">
        <v>41</v>
      </c>
      <c r="V63">
        <v>0.70000000000000284</v>
      </c>
      <c r="W63">
        <v>1.6786570743405342</v>
      </c>
      <c r="X63">
        <v>174</v>
      </c>
      <c r="Y63">
        <v>125</v>
      </c>
      <c r="Z63">
        <v>49</v>
      </c>
      <c r="AA63">
        <v>28.160919540229884</v>
      </c>
      <c r="AB63">
        <v>11.8</v>
      </c>
      <c r="AC63">
        <v>12.6</v>
      </c>
      <c r="AD63">
        <v>-0.79999999999999893</v>
      </c>
      <c r="AE63">
        <v>17.7</v>
      </c>
      <c r="AF63">
        <v>18.5</v>
      </c>
      <c r="AG63">
        <v>-0.80000000000000071</v>
      </c>
      <c r="AH63">
        <v>3598</v>
      </c>
      <c r="AI63">
        <v>92</v>
      </c>
      <c r="AJ63">
        <v>77</v>
      </c>
      <c r="AK63">
        <v>262</v>
      </c>
      <c r="AL63">
        <v>1466</v>
      </c>
      <c r="AM63" s="2">
        <v>15.3</v>
      </c>
      <c r="AN63" s="2">
        <v>77</v>
      </c>
      <c r="AO63">
        <v>3.84</v>
      </c>
      <c r="AP63">
        <v>3</v>
      </c>
      <c r="AQ63" s="2" t="s">
        <v>90</v>
      </c>
      <c r="AR63">
        <v>70.47</v>
      </c>
      <c r="AS63">
        <v>4.9000000000000002E-2</v>
      </c>
    </row>
    <row r="64" spans="10:45" x14ac:dyDescent="0.3">
      <c r="J64">
        <v>63</v>
      </c>
      <c r="K64" t="s">
        <v>90</v>
      </c>
      <c r="L64">
        <v>29</v>
      </c>
      <c r="M64" t="s">
        <v>120</v>
      </c>
      <c r="N64">
        <v>77</v>
      </c>
      <c r="O64">
        <v>176</v>
      </c>
      <c r="P64">
        <v>14.3</v>
      </c>
      <c r="Q64">
        <v>14.8</v>
      </c>
      <c r="R64">
        <v>-0.5</v>
      </c>
      <c r="S64">
        <v>-3.4965034965034962</v>
      </c>
      <c r="T64">
        <v>42</v>
      </c>
      <c r="U64">
        <v>43.1</v>
      </c>
      <c r="V64">
        <v>-1.1000000000000014</v>
      </c>
      <c r="W64">
        <v>-2.6190476190476226</v>
      </c>
      <c r="X64">
        <v>252</v>
      </c>
      <c r="Y64">
        <v>164</v>
      </c>
      <c r="Z64">
        <v>88</v>
      </c>
      <c r="AA64">
        <v>34.920634920634917</v>
      </c>
      <c r="AB64">
        <v>11.9</v>
      </c>
      <c r="AC64">
        <v>11.9</v>
      </c>
      <c r="AD64">
        <v>0</v>
      </c>
      <c r="AE64">
        <v>16.100000000000001</v>
      </c>
      <c r="AF64">
        <v>17.3</v>
      </c>
      <c r="AG64">
        <v>-1.1999999999999993</v>
      </c>
      <c r="AH64">
        <v>2428</v>
      </c>
      <c r="AI64">
        <v>100</v>
      </c>
      <c r="AJ64">
        <v>48</v>
      </c>
      <c r="AK64">
        <v>263</v>
      </c>
      <c r="AL64">
        <v>1738</v>
      </c>
      <c r="AM64" s="2">
        <v>14.3</v>
      </c>
      <c r="AN64" s="2">
        <v>48</v>
      </c>
      <c r="AO64">
        <v>4.57</v>
      </c>
      <c r="AP64">
        <v>3</v>
      </c>
      <c r="AQ64" s="2" t="s">
        <v>90</v>
      </c>
      <c r="AR64">
        <v>96.79</v>
      </c>
      <c r="AS64">
        <v>9.5000000000000001E-2</v>
      </c>
    </row>
    <row r="65" spans="10:45" x14ac:dyDescent="0.3">
      <c r="J65">
        <v>64</v>
      </c>
      <c r="K65" t="s">
        <v>90</v>
      </c>
      <c r="L65">
        <v>26</v>
      </c>
      <c r="M65" t="s">
        <v>120</v>
      </c>
      <c r="N65">
        <v>66</v>
      </c>
      <c r="O65">
        <v>168</v>
      </c>
      <c r="P65">
        <v>14.6</v>
      </c>
      <c r="Q65">
        <v>14</v>
      </c>
      <c r="R65">
        <v>0.59999999999999964</v>
      </c>
      <c r="S65">
        <v>4.1095890410958882</v>
      </c>
      <c r="T65">
        <v>39.4</v>
      </c>
      <c r="U65">
        <v>38.200000000000003</v>
      </c>
      <c r="V65">
        <v>1.1999999999999957</v>
      </c>
      <c r="W65">
        <v>3.0456852791878064</v>
      </c>
      <c r="X65">
        <v>215</v>
      </c>
      <c r="Y65">
        <v>166</v>
      </c>
      <c r="Z65">
        <v>49</v>
      </c>
      <c r="AA65">
        <v>22.790697674418606</v>
      </c>
      <c r="AB65">
        <v>8.8000000000000007</v>
      </c>
      <c r="AC65">
        <v>9.5</v>
      </c>
      <c r="AD65">
        <v>-0.69999999999999929</v>
      </c>
      <c r="AE65">
        <v>9.5</v>
      </c>
      <c r="AF65">
        <v>10.7</v>
      </c>
      <c r="AG65">
        <v>-1.1999999999999993</v>
      </c>
      <c r="AH65">
        <v>2842</v>
      </c>
      <c r="AI65">
        <v>92</v>
      </c>
      <c r="AJ65">
        <v>61</v>
      </c>
      <c r="AK65">
        <v>260</v>
      </c>
      <c r="AL65">
        <v>1590</v>
      </c>
      <c r="AM65" s="2">
        <v>14.6</v>
      </c>
      <c r="AN65" s="2">
        <v>61</v>
      </c>
      <c r="AO65">
        <v>4.13</v>
      </c>
      <c r="AP65">
        <v>3</v>
      </c>
      <c r="AQ65" s="2" t="s">
        <v>90</v>
      </c>
      <c r="AR65">
        <v>79.83</v>
      </c>
      <c r="AS65">
        <v>6.7000000000000004E-2</v>
      </c>
    </row>
    <row r="66" spans="10:45" x14ac:dyDescent="0.3">
      <c r="J66">
        <v>65</v>
      </c>
      <c r="K66" t="s">
        <v>90</v>
      </c>
      <c r="L66">
        <v>25</v>
      </c>
      <c r="M66" t="s">
        <v>120</v>
      </c>
      <c r="N66">
        <v>65</v>
      </c>
      <c r="O66">
        <v>168</v>
      </c>
      <c r="P66">
        <v>15.9</v>
      </c>
      <c r="Q66">
        <v>15.1</v>
      </c>
      <c r="R66">
        <v>0.80000000000000071</v>
      </c>
      <c r="S66">
        <v>5.0314465408805074</v>
      </c>
      <c r="T66">
        <v>47.6</v>
      </c>
      <c r="U66">
        <v>45.5</v>
      </c>
      <c r="V66">
        <v>2.1000000000000014</v>
      </c>
      <c r="W66">
        <v>4.4117647058823559</v>
      </c>
      <c r="X66">
        <v>310</v>
      </c>
      <c r="Y66">
        <v>242</v>
      </c>
      <c r="Z66">
        <v>68</v>
      </c>
      <c r="AA66">
        <v>21.935483870967744</v>
      </c>
      <c r="AB66">
        <v>10</v>
      </c>
      <c r="AC66">
        <v>10.3</v>
      </c>
      <c r="AD66">
        <v>-0.30000000000000071</v>
      </c>
      <c r="AE66">
        <v>13.4</v>
      </c>
      <c r="AF66">
        <v>13.5</v>
      </c>
      <c r="AG66">
        <v>-9.9999999999999645E-2</v>
      </c>
      <c r="AH66">
        <v>1625</v>
      </c>
      <c r="AI66">
        <v>82</v>
      </c>
      <c r="AJ66">
        <v>39</v>
      </c>
      <c r="AK66">
        <v>262</v>
      </c>
      <c r="AL66">
        <v>1238</v>
      </c>
      <c r="AM66" s="2">
        <v>15.9</v>
      </c>
      <c r="AN66" s="2">
        <v>39</v>
      </c>
      <c r="AO66">
        <v>3.24</v>
      </c>
      <c r="AP66">
        <v>2</v>
      </c>
      <c r="AQ66" s="2" t="s">
        <v>90</v>
      </c>
      <c r="AR66">
        <v>76.69</v>
      </c>
      <c r="AS66">
        <v>8.3000000000000004E-2</v>
      </c>
    </row>
    <row r="67" spans="10:45" x14ac:dyDescent="0.3">
      <c r="J67">
        <v>66</v>
      </c>
      <c r="K67" t="s">
        <v>90</v>
      </c>
      <c r="L67">
        <v>26</v>
      </c>
      <c r="M67" t="s">
        <v>120</v>
      </c>
      <c r="N67">
        <v>77</v>
      </c>
      <c r="O67">
        <v>172</v>
      </c>
      <c r="P67">
        <v>14.7</v>
      </c>
      <c r="Q67">
        <v>14.2</v>
      </c>
      <c r="R67">
        <v>0.5</v>
      </c>
      <c r="S67">
        <v>3.4013605442176873</v>
      </c>
      <c r="T67">
        <v>43.5</v>
      </c>
      <c r="U67">
        <v>42.7</v>
      </c>
      <c r="V67">
        <v>0.79999999999999716</v>
      </c>
      <c r="W67">
        <v>1.8390804597701083</v>
      </c>
      <c r="X67">
        <v>231</v>
      </c>
      <c r="Y67">
        <v>178</v>
      </c>
      <c r="Z67">
        <v>53</v>
      </c>
      <c r="AA67">
        <v>22.943722943722943</v>
      </c>
      <c r="AB67">
        <v>11.8</v>
      </c>
      <c r="AC67">
        <v>12.3</v>
      </c>
      <c r="AD67">
        <v>-0.5</v>
      </c>
      <c r="AE67">
        <v>17.2</v>
      </c>
      <c r="AF67">
        <v>18</v>
      </c>
      <c r="AG67">
        <v>-0.80000000000000071</v>
      </c>
      <c r="AH67">
        <v>2578</v>
      </c>
      <c r="AI67">
        <v>98</v>
      </c>
      <c r="AJ67">
        <v>52</v>
      </c>
      <c r="AK67">
        <v>260</v>
      </c>
      <c r="AL67">
        <v>1682</v>
      </c>
      <c r="AM67" s="2">
        <v>14.7</v>
      </c>
      <c r="AN67" s="2">
        <v>52</v>
      </c>
      <c r="AO67">
        <v>4.37</v>
      </c>
      <c r="AP67">
        <v>3</v>
      </c>
      <c r="AQ67" s="2" t="s">
        <v>90</v>
      </c>
      <c r="AR67">
        <v>97.11</v>
      </c>
      <c r="AS67">
        <v>8.4000000000000005E-2</v>
      </c>
    </row>
    <row r="68" spans="10:45" x14ac:dyDescent="0.3">
      <c r="J68">
        <v>67</v>
      </c>
      <c r="K68" t="s">
        <v>90</v>
      </c>
      <c r="L68">
        <v>24</v>
      </c>
      <c r="M68" t="s">
        <v>119</v>
      </c>
      <c r="N68">
        <v>83</v>
      </c>
      <c r="O68">
        <v>175</v>
      </c>
      <c r="P68">
        <v>12.7</v>
      </c>
      <c r="Q68">
        <v>12.3</v>
      </c>
      <c r="R68">
        <v>0.39999999999999858</v>
      </c>
      <c r="S68">
        <v>3.1496062992125875</v>
      </c>
      <c r="T68">
        <v>38.299999999999997</v>
      </c>
      <c r="U68">
        <v>37.5</v>
      </c>
      <c r="V68">
        <v>0.79999999999999716</v>
      </c>
      <c r="W68">
        <v>2.0887728459529953</v>
      </c>
      <c r="X68">
        <v>325</v>
      </c>
      <c r="Y68">
        <v>262</v>
      </c>
      <c r="Z68">
        <v>63</v>
      </c>
      <c r="AA68">
        <v>19.384615384615383</v>
      </c>
      <c r="AB68">
        <v>9.6</v>
      </c>
      <c r="AC68">
        <v>9.4</v>
      </c>
      <c r="AD68">
        <v>0.19999999999999929</v>
      </c>
      <c r="AE68">
        <v>11</v>
      </c>
      <c r="AF68">
        <v>11.4</v>
      </c>
      <c r="AG68">
        <v>-0.40000000000000036</v>
      </c>
      <c r="AH68">
        <v>1909</v>
      </c>
      <c r="AI68">
        <v>96</v>
      </c>
      <c r="AJ68">
        <v>39</v>
      </c>
      <c r="AK68">
        <v>283</v>
      </c>
      <c r="AL68">
        <v>1524</v>
      </c>
      <c r="AM68" s="2">
        <v>12.7</v>
      </c>
      <c r="AN68" s="2">
        <v>39</v>
      </c>
      <c r="AO68">
        <v>4.3099999999999996</v>
      </c>
      <c r="AP68">
        <v>3</v>
      </c>
      <c r="AQ68" s="2" t="s">
        <v>90</v>
      </c>
      <c r="AR68">
        <v>89.09</v>
      </c>
      <c r="AS68">
        <v>0.11</v>
      </c>
    </row>
    <row r="69" spans="10:45" x14ac:dyDescent="0.3">
      <c r="J69">
        <v>68</v>
      </c>
      <c r="K69" t="s">
        <v>90</v>
      </c>
      <c r="L69">
        <v>28</v>
      </c>
      <c r="M69" t="s">
        <v>120</v>
      </c>
      <c r="N69">
        <v>92</v>
      </c>
      <c r="O69">
        <v>180</v>
      </c>
      <c r="P69">
        <v>15.2</v>
      </c>
      <c r="Q69">
        <v>14.7</v>
      </c>
      <c r="R69">
        <v>0.5</v>
      </c>
      <c r="S69">
        <v>3.2894736842105261</v>
      </c>
      <c r="T69">
        <v>45.5</v>
      </c>
      <c r="U69">
        <v>44.9</v>
      </c>
      <c r="V69">
        <v>0.60000000000000142</v>
      </c>
      <c r="W69">
        <v>1.3186813186813218</v>
      </c>
      <c r="X69">
        <v>306</v>
      </c>
      <c r="Y69">
        <v>264</v>
      </c>
      <c r="Z69">
        <v>42</v>
      </c>
      <c r="AA69">
        <v>13.725490196078432</v>
      </c>
      <c r="AB69">
        <v>9.5</v>
      </c>
      <c r="AC69">
        <v>9.9</v>
      </c>
      <c r="AD69">
        <v>-0.40000000000000036</v>
      </c>
      <c r="AE69">
        <v>11</v>
      </c>
      <c r="AF69">
        <v>12.6</v>
      </c>
      <c r="AG69">
        <v>-1.5999999999999996</v>
      </c>
      <c r="AH69">
        <v>1991</v>
      </c>
      <c r="AI69">
        <v>98</v>
      </c>
      <c r="AJ69">
        <v>40</v>
      </c>
      <c r="AK69">
        <v>282</v>
      </c>
      <c r="AL69">
        <v>1563</v>
      </c>
      <c r="AM69" s="2">
        <v>15.2</v>
      </c>
      <c r="AN69" s="2">
        <v>40</v>
      </c>
      <c r="AO69">
        <v>4.4000000000000004</v>
      </c>
      <c r="AP69">
        <v>3</v>
      </c>
      <c r="AQ69" s="2" t="s">
        <v>90</v>
      </c>
      <c r="AR69">
        <v>82.06</v>
      </c>
      <c r="AS69">
        <v>0.11</v>
      </c>
    </row>
    <row r="70" spans="10:45" x14ac:dyDescent="0.3">
      <c r="J70">
        <v>69</v>
      </c>
      <c r="K70" t="s">
        <v>90</v>
      </c>
      <c r="L70">
        <v>21</v>
      </c>
      <c r="M70" t="s">
        <v>119</v>
      </c>
      <c r="N70">
        <v>62</v>
      </c>
      <c r="O70">
        <v>171</v>
      </c>
      <c r="P70">
        <v>15.4</v>
      </c>
      <c r="Q70">
        <v>15.1</v>
      </c>
      <c r="R70">
        <v>0.30000000000000071</v>
      </c>
      <c r="S70">
        <v>1.9480519480519525</v>
      </c>
      <c r="T70">
        <v>46.1</v>
      </c>
      <c r="U70">
        <v>44.8</v>
      </c>
      <c r="V70">
        <v>1.3000000000000043</v>
      </c>
      <c r="W70">
        <v>2.8199566160520702</v>
      </c>
      <c r="X70">
        <v>316</v>
      </c>
      <c r="Y70">
        <v>208</v>
      </c>
      <c r="Z70">
        <v>108</v>
      </c>
      <c r="AA70">
        <v>34.177215189873415</v>
      </c>
      <c r="AB70">
        <v>7.4</v>
      </c>
      <c r="AC70">
        <v>7.7</v>
      </c>
      <c r="AD70">
        <v>-0.29999999999999982</v>
      </c>
      <c r="AE70">
        <v>7.9</v>
      </c>
      <c r="AF70">
        <v>8.1</v>
      </c>
      <c r="AG70">
        <v>-0.19999999999999929</v>
      </c>
      <c r="AH70">
        <v>2011</v>
      </c>
      <c r="AI70">
        <v>88</v>
      </c>
      <c r="AJ70">
        <v>45</v>
      </c>
      <c r="AK70">
        <v>262</v>
      </c>
      <c r="AL70">
        <v>1699</v>
      </c>
      <c r="AM70" s="2">
        <v>15.4</v>
      </c>
      <c r="AN70" s="2">
        <v>45</v>
      </c>
      <c r="AO70">
        <v>4.45</v>
      </c>
      <c r="AP70">
        <v>3</v>
      </c>
      <c r="AQ70" s="2" t="s">
        <v>90</v>
      </c>
      <c r="AR70">
        <v>97.94</v>
      </c>
      <c r="AS70">
        <v>0.09</v>
      </c>
    </row>
    <row r="71" spans="10:45" x14ac:dyDescent="0.3">
      <c r="J71">
        <v>70</v>
      </c>
      <c r="K71" t="s">
        <v>90</v>
      </c>
      <c r="L71">
        <v>42</v>
      </c>
      <c r="M71" t="s">
        <v>121</v>
      </c>
      <c r="N71">
        <v>75</v>
      </c>
      <c r="O71">
        <v>172</v>
      </c>
      <c r="P71">
        <v>12.8</v>
      </c>
      <c r="Q71">
        <v>12</v>
      </c>
      <c r="R71">
        <v>0.80000000000000071</v>
      </c>
      <c r="S71">
        <v>6.2500000000000053</v>
      </c>
      <c r="T71">
        <v>40.5</v>
      </c>
      <c r="U71">
        <v>39</v>
      </c>
      <c r="V71">
        <v>1.5</v>
      </c>
      <c r="W71">
        <v>3.7037037037037033</v>
      </c>
      <c r="X71">
        <v>331</v>
      </c>
      <c r="Y71">
        <v>273</v>
      </c>
      <c r="Z71">
        <v>58</v>
      </c>
      <c r="AA71">
        <v>17.522658610271904</v>
      </c>
      <c r="AB71">
        <v>9.1999999999999993</v>
      </c>
      <c r="AC71">
        <v>9.6</v>
      </c>
      <c r="AD71">
        <v>-0.40000000000000036</v>
      </c>
      <c r="AE71">
        <v>10.7</v>
      </c>
      <c r="AF71">
        <v>11</v>
      </c>
      <c r="AG71">
        <v>-0.30000000000000071</v>
      </c>
      <c r="AH71">
        <v>1881</v>
      </c>
      <c r="AI71">
        <v>94</v>
      </c>
      <c r="AJ71">
        <v>40</v>
      </c>
      <c r="AK71">
        <v>260</v>
      </c>
      <c r="AL71">
        <v>1791</v>
      </c>
      <c r="AM71" s="2">
        <v>12.8</v>
      </c>
      <c r="AN71" s="2">
        <v>40</v>
      </c>
      <c r="AO71">
        <v>4.6500000000000004</v>
      </c>
      <c r="AP71">
        <v>3</v>
      </c>
      <c r="AQ71" s="2" t="s">
        <v>90</v>
      </c>
      <c r="AR71">
        <v>98.39</v>
      </c>
      <c r="AS71">
        <v>0.11</v>
      </c>
    </row>
    <row r="72" spans="10:45" x14ac:dyDescent="0.3">
      <c r="J72">
        <v>71</v>
      </c>
      <c r="K72" t="s">
        <v>90</v>
      </c>
      <c r="L72">
        <v>32</v>
      </c>
      <c r="M72" t="s">
        <v>117</v>
      </c>
      <c r="N72">
        <v>75</v>
      </c>
      <c r="O72">
        <v>170</v>
      </c>
      <c r="P72">
        <v>15</v>
      </c>
      <c r="Q72">
        <v>14.5</v>
      </c>
      <c r="R72">
        <v>0.5</v>
      </c>
      <c r="S72">
        <v>3.3333333333333335</v>
      </c>
      <c r="T72">
        <v>42</v>
      </c>
      <c r="U72">
        <v>41</v>
      </c>
      <c r="V72">
        <v>1</v>
      </c>
      <c r="W72">
        <v>2.3809523809523809</v>
      </c>
      <c r="X72">
        <v>260</v>
      </c>
      <c r="Y72">
        <v>200</v>
      </c>
      <c r="Z72">
        <v>60</v>
      </c>
      <c r="AA72">
        <v>23.076923076923077</v>
      </c>
      <c r="AB72">
        <v>10.5</v>
      </c>
      <c r="AC72">
        <v>11</v>
      </c>
      <c r="AD72">
        <v>-0.5</v>
      </c>
      <c r="AE72">
        <v>12</v>
      </c>
      <c r="AF72">
        <v>12.5</v>
      </c>
      <c r="AG72">
        <v>-0.5</v>
      </c>
      <c r="AH72">
        <v>2500</v>
      </c>
      <c r="AI72">
        <v>82</v>
      </c>
      <c r="AJ72">
        <v>60</v>
      </c>
      <c r="AK72">
        <v>270</v>
      </c>
      <c r="AL72">
        <v>1500</v>
      </c>
      <c r="AM72" s="2">
        <v>15</v>
      </c>
      <c r="AN72" s="2">
        <v>60</v>
      </c>
      <c r="AO72">
        <v>3.9</v>
      </c>
      <c r="AP72">
        <v>3</v>
      </c>
      <c r="AQ72" s="2" t="s">
        <v>90</v>
      </c>
      <c r="AR72">
        <v>78</v>
      </c>
      <c r="AS72">
        <v>6.5000000000000002E-2</v>
      </c>
    </row>
    <row r="73" spans="10:45" x14ac:dyDescent="0.3">
      <c r="J73">
        <v>72</v>
      </c>
      <c r="K73" t="s">
        <v>90</v>
      </c>
      <c r="L73">
        <v>29</v>
      </c>
      <c r="M73" t="s">
        <v>120</v>
      </c>
      <c r="N73">
        <v>68</v>
      </c>
      <c r="O73">
        <v>165</v>
      </c>
      <c r="P73">
        <v>14.8</v>
      </c>
      <c r="Q73">
        <v>14.2</v>
      </c>
      <c r="R73">
        <v>0.60000000000000142</v>
      </c>
      <c r="S73">
        <v>4.0540540540540633</v>
      </c>
      <c r="T73">
        <v>40.5</v>
      </c>
      <c r="U73">
        <v>39.5</v>
      </c>
      <c r="V73">
        <v>1</v>
      </c>
      <c r="W73">
        <v>2.4691358024691357</v>
      </c>
      <c r="X73">
        <v>240</v>
      </c>
      <c r="Y73">
        <v>180</v>
      </c>
      <c r="Z73">
        <v>60</v>
      </c>
      <c r="AA73">
        <v>25</v>
      </c>
      <c r="AB73">
        <v>9.8000000000000007</v>
      </c>
      <c r="AC73">
        <v>10.199999999999999</v>
      </c>
      <c r="AD73">
        <v>-0.39999999999999858</v>
      </c>
      <c r="AE73">
        <v>11.5</v>
      </c>
      <c r="AF73">
        <v>12</v>
      </c>
      <c r="AG73">
        <v>-0.5</v>
      </c>
      <c r="AH73">
        <v>2600</v>
      </c>
      <c r="AI73">
        <v>82</v>
      </c>
      <c r="AJ73">
        <v>62</v>
      </c>
      <c r="AK73">
        <v>265</v>
      </c>
      <c r="AL73">
        <v>1550</v>
      </c>
      <c r="AM73" s="2">
        <v>14.8</v>
      </c>
      <c r="AN73" s="2">
        <v>62</v>
      </c>
      <c r="AO73">
        <v>4.0999999999999996</v>
      </c>
      <c r="AP73">
        <v>3</v>
      </c>
      <c r="AQ73" s="2" t="s">
        <v>90</v>
      </c>
      <c r="AR73">
        <v>80.5</v>
      </c>
      <c r="AS73">
        <v>0.06</v>
      </c>
    </row>
    <row r="74" spans="10:45" x14ac:dyDescent="0.3">
      <c r="J74">
        <v>73</v>
      </c>
      <c r="K74" t="s">
        <v>90</v>
      </c>
      <c r="L74">
        <v>35</v>
      </c>
      <c r="M74" t="s">
        <v>118</v>
      </c>
      <c r="N74">
        <v>80</v>
      </c>
      <c r="O74">
        <v>175</v>
      </c>
      <c r="P74">
        <v>15.5</v>
      </c>
      <c r="Q74">
        <v>15</v>
      </c>
      <c r="R74">
        <v>0.5</v>
      </c>
      <c r="S74">
        <v>3.225806451612903</v>
      </c>
      <c r="T74">
        <v>43</v>
      </c>
      <c r="U74">
        <v>42</v>
      </c>
      <c r="V74">
        <v>1</v>
      </c>
      <c r="W74">
        <v>2.3255813953488373</v>
      </c>
      <c r="X74">
        <v>280</v>
      </c>
      <c r="Y74">
        <v>220</v>
      </c>
      <c r="Z74">
        <v>60</v>
      </c>
      <c r="AA74">
        <v>21.428571428571427</v>
      </c>
      <c r="AB74">
        <v>10.199999999999999</v>
      </c>
      <c r="AC74">
        <v>10.7</v>
      </c>
      <c r="AD74">
        <v>-0.5</v>
      </c>
      <c r="AE74">
        <v>13</v>
      </c>
      <c r="AF74">
        <v>13.5</v>
      </c>
      <c r="AG74">
        <v>-0.5</v>
      </c>
      <c r="AH74">
        <v>2700</v>
      </c>
      <c r="AI74">
        <v>82</v>
      </c>
      <c r="AJ74">
        <v>65</v>
      </c>
      <c r="AK74">
        <v>275</v>
      </c>
      <c r="AL74">
        <v>1600</v>
      </c>
      <c r="AM74" s="2">
        <v>15.5</v>
      </c>
      <c r="AN74" s="2">
        <v>65</v>
      </c>
      <c r="AO74">
        <v>4.2</v>
      </c>
      <c r="AP74">
        <v>3</v>
      </c>
      <c r="AQ74" s="2" t="s">
        <v>90</v>
      </c>
      <c r="AR74">
        <v>81</v>
      </c>
      <c r="AS74">
        <v>6.4000000000000001E-2</v>
      </c>
    </row>
    <row r="75" spans="10:45" x14ac:dyDescent="0.3">
      <c r="J75">
        <v>74</v>
      </c>
      <c r="K75" t="s">
        <v>90</v>
      </c>
      <c r="L75">
        <v>27</v>
      </c>
      <c r="M75" t="s">
        <v>120</v>
      </c>
      <c r="N75">
        <v>70</v>
      </c>
      <c r="O75">
        <v>168</v>
      </c>
      <c r="P75">
        <v>14.9</v>
      </c>
      <c r="Q75">
        <v>14.4</v>
      </c>
      <c r="R75">
        <v>0.5</v>
      </c>
      <c r="S75">
        <v>3.3557046979865772</v>
      </c>
      <c r="T75">
        <v>41</v>
      </c>
      <c r="U75">
        <v>40</v>
      </c>
      <c r="V75">
        <v>1</v>
      </c>
      <c r="W75">
        <v>2.4390243902439024</v>
      </c>
      <c r="X75">
        <v>250</v>
      </c>
      <c r="Y75">
        <v>190</v>
      </c>
      <c r="Z75">
        <v>60</v>
      </c>
      <c r="AA75">
        <v>24</v>
      </c>
      <c r="AB75">
        <v>9.5</v>
      </c>
      <c r="AC75">
        <v>10</v>
      </c>
      <c r="AD75">
        <v>-0.5</v>
      </c>
      <c r="AE75">
        <v>10.5</v>
      </c>
      <c r="AF75">
        <v>11</v>
      </c>
      <c r="AG75">
        <v>-0.5</v>
      </c>
      <c r="AH75">
        <v>2550</v>
      </c>
      <c r="AI75">
        <v>86</v>
      </c>
      <c r="AJ75">
        <v>58</v>
      </c>
      <c r="AK75">
        <v>260</v>
      </c>
      <c r="AL75">
        <v>1450</v>
      </c>
      <c r="AM75" s="2">
        <v>14.9</v>
      </c>
      <c r="AN75" s="2">
        <v>58</v>
      </c>
      <c r="AO75">
        <v>3.8</v>
      </c>
      <c r="AP75">
        <v>3</v>
      </c>
      <c r="AQ75" s="2" t="s">
        <v>90</v>
      </c>
      <c r="AR75">
        <v>77.5</v>
      </c>
      <c r="AS75">
        <v>6.5000000000000002E-2</v>
      </c>
    </row>
    <row r="76" spans="10:45" x14ac:dyDescent="0.3">
      <c r="J76">
        <v>75</v>
      </c>
      <c r="K76" t="s">
        <v>90</v>
      </c>
      <c r="L76">
        <v>31</v>
      </c>
      <c r="M76" t="s">
        <v>117</v>
      </c>
      <c r="N76">
        <v>74</v>
      </c>
      <c r="O76">
        <v>172</v>
      </c>
      <c r="P76">
        <v>15.2</v>
      </c>
      <c r="Q76">
        <v>14.7</v>
      </c>
      <c r="R76">
        <v>0.5</v>
      </c>
      <c r="S76">
        <v>3.2894736842105261</v>
      </c>
      <c r="T76">
        <v>42.5</v>
      </c>
      <c r="U76">
        <v>41.5</v>
      </c>
      <c r="V76">
        <v>1</v>
      </c>
      <c r="W76">
        <v>2.3529411764705883</v>
      </c>
      <c r="X76">
        <v>270</v>
      </c>
      <c r="Y76">
        <v>210</v>
      </c>
      <c r="Z76">
        <v>60</v>
      </c>
      <c r="AA76">
        <v>22.222222222222221</v>
      </c>
      <c r="AB76">
        <v>10</v>
      </c>
      <c r="AC76">
        <v>10.5</v>
      </c>
      <c r="AD76">
        <v>-0.5</v>
      </c>
      <c r="AE76">
        <v>12.5</v>
      </c>
      <c r="AF76">
        <v>13</v>
      </c>
      <c r="AG76">
        <v>-0.5</v>
      </c>
      <c r="AH76">
        <v>2650</v>
      </c>
      <c r="AI76">
        <v>84</v>
      </c>
      <c r="AJ76">
        <v>63</v>
      </c>
      <c r="AK76">
        <v>268</v>
      </c>
      <c r="AL76">
        <v>1520</v>
      </c>
      <c r="AM76" s="2">
        <v>15.2</v>
      </c>
      <c r="AN76" s="2">
        <v>63</v>
      </c>
      <c r="AO76">
        <v>4</v>
      </c>
      <c r="AP76">
        <v>3</v>
      </c>
      <c r="AQ76" s="2" t="s">
        <v>90</v>
      </c>
      <c r="AR76">
        <v>79</v>
      </c>
      <c r="AS76">
        <v>0.06</v>
      </c>
    </row>
    <row r="77" spans="10:45" x14ac:dyDescent="0.3">
      <c r="J77">
        <v>76</v>
      </c>
      <c r="K77" t="s">
        <v>90</v>
      </c>
      <c r="L77">
        <v>31</v>
      </c>
      <c r="M77" t="s">
        <v>117</v>
      </c>
      <c r="N77">
        <v>75</v>
      </c>
      <c r="O77">
        <v>169</v>
      </c>
      <c r="P77">
        <v>14.7</v>
      </c>
      <c r="Q77">
        <v>14.3</v>
      </c>
      <c r="R77">
        <v>0.39999999999999858</v>
      </c>
      <c r="S77">
        <v>2.7210884353741402</v>
      </c>
      <c r="T77">
        <v>42.1</v>
      </c>
      <c r="U77">
        <v>41.5</v>
      </c>
      <c r="V77">
        <v>0.60000000000000142</v>
      </c>
      <c r="W77">
        <v>1.425178147268412</v>
      </c>
      <c r="X77">
        <v>210</v>
      </c>
      <c r="Y77">
        <v>165</v>
      </c>
      <c r="Z77">
        <v>45</v>
      </c>
      <c r="AA77">
        <v>21.428571428571427</v>
      </c>
      <c r="AB77">
        <v>10.199999999999999</v>
      </c>
      <c r="AC77">
        <v>11</v>
      </c>
      <c r="AD77">
        <v>-0.80000000000000071</v>
      </c>
      <c r="AE77">
        <v>15</v>
      </c>
      <c r="AF77">
        <v>16.2</v>
      </c>
      <c r="AG77">
        <v>-1.1999999999999993</v>
      </c>
      <c r="AH77">
        <v>2890</v>
      </c>
      <c r="AI77">
        <v>90</v>
      </c>
      <c r="AJ77">
        <v>63</v>
      </c>
      <c r="AK77">
        <v>263</v>
      </c>
      <c r="AL77">
        <v>1510</v>
      </c>
      <c r="AM77" s="2">
        <v>14.7</v>
      </c>
      <c r="AN77" s="2">
        <v>63</v>
      </c>
      <c r="AO77">
        <v>4.05</v>
      </c>
      <c r="AP77">
        <v>3</v>
      </c>
      <c r="AQ77" s="2" t="s">
        <v>90</v>
      </c>
      <c r="AR77">
        <v>77.5</v>
      </c>
      <c r="AS77">
        <v>6.4000000000000001E-2</v>
      </c>
    </row>
    <row r="78" spans="10:45" x14ac:dyDescent="0.3">
      <c r="J78">
        <v>77</v>
      </c>
      <c r="K78" t="s">
        <v>90</v>
      </c>
      <c r="L78">
        <v>29</v>
      </c>
      <c r="M78" t="s">
        <v>120</v>
      </c>
      <c r="N78">
        <v>80</v>
      </c>
      <c r="O78">
        <v>173</v>
      </c>
      <c r="P78">
        <v>15.4</v>
      </c>
      <c r="Q78">
        <v>14.8</v>
      </c>
      <c r="R78">
        <v>0.59999999999999964</v>
      </c>
      <c r="S78">
        <v>3.8961038961038938</v>
      </c>
      <c r="T78">
        <v>43.5</v>
      </c>
      <c r="U78">
        <v>42</v>
      </c>
      <c r="V78">
        <v>1.5</v>
      </c>
      <c r="W78">
        <v>3.4482758620689653</v>
      </c>
      <c r="X78">
        <v>250</v>
      </c>
      <c r="Y78">
        <v>200</v>
      </c>
      <c r="Z78">
        <v>50</v>
      </c>
      <c r="AA78">
        <v>20</v>
      </c>
      <c r="AB78">
        <v>9.5</v>
      </c>
      <c r="AC78">
        <v>10.5</v>
      </c>
      <c r="AD78">
        <v>-1</v>
      </c>
      <c r="AE78">
        <v>13.5</v>
      </c>
      <c r="AF78">
        <v>14</v>
      </c>
      <c r="AG78">
        <v>-0.5</v>
      </c>
      <c r="AH78">
        <v>3000</v>
      </c>
      <c r="AI78">
        <v>84</v>
      </c>
      <c r="AJ78">
        <v>70</v>
      </c>
      <c r="AK78">
        <v>270</v>
      </c>
      <c r="AL78">
        <v>1445</v>
      </c>
      <c r="AM78" s="2">
        <v>15.4</v>
      </c>
      <c r="AN78" s="2">
        <v>70</v>
      </c>
      <c r="AO78">
        <v>3.8</v>
      </c>
      <c r="AP78">
        <v>3</v>
      </c>
      <c r="AQ78" s="2" t="s">
        <v>90</v>
      </c>
      <c r="AR78">
        <v>75.8</v>
      </c>
      <c r="AS78">
        <v>0.05</v>
      </c>
    </row>
    <row r="79" spans="10:45" x14ac:dyDescent="0.3">
      <c r="J79">
        <v>78</v>
      </c>
      <c r="K79" t="s">
        <v>90</v>
      </c>
      <c r="L79">
        <v>27</v>
      </c>
      <c r="M79" t="s">
        <v>120</v>
      </c>
      <c r="N79">
        <v>72</v>
      </c>
      <c r="O79">
        <v>176</v>
      </c>
      <c r="P79">
        <v>15.1</v>
      </c>
      <c r="Q79">
        <v>14.6</v>
      </c>
      <c r="R79">
        <v>0.5</v>
      </c>
      <c r="S79">
        <v>3.3112582781456954</v>
      </c>
      <c r="T79">
        <v>40.5</v>
      </c>
      <c r="U79">
        <v>41.2</v>
      </c>
      <c r="V79">
        <v>-0.70000000000000284</v>
      </c>
      <c r="W79">
        <v>-1.7283950617284023</v>
      </c>
      <c r="X79">
        <v>185</v>
      </c>
      <c r="Y79">
        <v>145</v>
      </c>
      <c r="Z79">
        <v>40</v>
      </c>
      <c r="AA79">
        <v>21.621621621621621</v>
      </c>
      <c r="AB79">
        <v>10.8</v>
      </c>
      <c r="AC79">
        <v>10.8</v>
      </c>
      <c r="AD79">
        <v>0</v>
      </c>
      <c r="AE79">
        <v>12.2</v>
      </c>
      <c r="AF79">
        <v>13.5</v>
      </c>
      <c r="AG79">
        <v>-1.3000000000000007</v>
      </c>
      <c r="AH79">
        <v>3200</v>
      </c>
      <c r="AI79">
        <v>54</v>
      </c>
      <c r="AJ79">
        <v>59</v>
      </c>
      <c r="AK79">
        <v>258</v>
      </c>
      <c r="AL79">
        <v>1400</v>
      </c>
      <c r="AM79" s="2">
        <v>15.1</v>
      </c>
      <c r="AN79" s="2">
        <v>59</v>
      </c>
      <c r="AO79">
        <v>4.2</v>
      </c>
      <c r="AP79">
        <v>3</v>
      </c>
      <c r="AQ79" s="2" t="s">
        <v>90</v>
      </c>
      <c r="AR79">
        <v>78.3</v>
      </c>
      <c r="AS79">
        <v>7.0999999999999994E-2</v>
      </c>
    </row>
    <row r="80" spans="10:45" x14ac:dyDescent="0.3">
      <c r="J80">
        <v>79</v>
      </c>
      <c r="K80" t="s">
        <v>90</v>
      </c>
      <c r="L80">
        <v>32</v>
      </c>
      <c r="M80" t="s">
        <v>117</v>
      </c>
      <c r="N80">
        <v>66</v>
      </c>
      <c r="O80">
        <v>165</v>
      </c>
      <c r="P80">
        <v>14.9</v>
      </c>
      <c r="Q80">
        <v>14.5</v>
      </c>
      <c r="R80">
        <v>0.40000000000000036</v>
      </c>
      <c r="S80">
        <v>2.6845637583892641</v>
      </c>
      <c r="T80">
        <v>44.2</v>
      </c>
      <c r="U80">
        <v>43.5</v>
      </c>
      <c r="V80">
        <v>0.70000000000000284</v>
      </c>
      <c r="W80">
        <v>1.5837104072398251</v>
      </c>
      <c r="X80">
        <v>220</v>
      </c>
      <c r="Y80">
        <v>175</v>
      </c>
      <c r="Z80">
        <v>45</v>
      </c>
      <c r="AA80">
        <v>20.454545454545457</v>
      </c>
      <c r="AB80">
        <v>10</v>
      </c>
      <c r="AC80">
        <v>10.1</v>
      </c>
      <c r="AD80">
        <v>-9.9999999999999645E-2</v>
      </c>
      <c r="AE80">
        <v>14</v>
      </c>
      <c r="AF80">
        <v>14.7</v>
      </c>
      <c r="AG80">
        <v>-0.69999999999999929</v>
      </c>
      <c r="AH80">
        <v>3100</v>
      </c>
      <c r="AI80">
        <v>92</v>
      </c>
      <c r="AJ80">
        <v>66</v>
      </c>
      <c r="AK80">
        <v>265</v>
      </c>
      <c r="AL80">
        <v>1550</v>
      </c>
      <c r="AM80" s="2">
        <v>14.9</v>
      </c>
      <c r="AN80" s="2">
        <v>66</v>
      </c>
      <c r="AO80">
        <v>4</v>
      </c>
      <c r="AP80">
        <v>3</v>
      </c>
      <c r="AQ80" s="2" t="s">
        <v>90</v>
      </c>
      <c r="AR80">
        <v>79</v>
      </c>
      <c r="AS80">
        <v>0.06</v>
      </c>
    </row>
    <row r="81" spans="10:45" x14ac:dyDescent="0.3">
      <c r="J81">
        <v>80</v>
      </c>
      <c r="K81" t="s">
        <v>90</v>
      </c>
      <c r="L81">
        <v>28</v>
      </c>
      <c r="M81" t="s">
        <v>120</v>
      </c>
      <c r="N81">
        <v>68</v>
      </c>
      <c r="O81">
        <v>171</v>
      </c>
      <c r="P81">
        <v>15</v>
      </c>
      <c r="Q81">
        <v>14.2</v>
      </c>
      <c r="R81">
        <v>0.80000000000000071</v>
      </c>
      <c r="S81">
        <v>5.3333333333333375</v>
      </c>
      <c r="T81">
        <v>41.5</v>
      </c>
      <c r="U81">
        <v>41</v>
      </c>
      <c r="V81">
        <v>0.5</v>
      </c>
      <c r="W81">
        <v>1.2048192771084338</v>
      </c>
      <c r="X81">
        <v>240</v>
      </c>
      <c r="Y81">
        <v>160</v>
      </c>
      <c r="Z81">
        <v>80</v>
      </c>
      <c r="AA81">
        <v>33.333333333333329</v>
      </c>
      <c r="AB81">
        <v>9.9</v>
      </c>
      <c r="AC81">
        <v>10.4</v>
      </c>
      <c r="AD81">
        <v>-0.5</v>
      </c>
      <c r="AE81">
        <v>13.5</v>
      </c>
      <c r="AF81">
        <v>13.8</v>
      </c>
      <c r="AG81">
        <v>-0.30000000000000071</v>
      </c>
      <c r="AH81">
        <v>2700</v>
      </c>
      <c r="AI81">
        <v>86</v>
      </c>
      <c r="AJ81">
        <v>62</v>
      </c>
      <c r="AK81">
        <v>272</v>
      </c>
      <c r="AL81">
        <v>1600</v>
      </c>
      <c r="AM81" s="2">
        <v>15</v>
      </c>
      <c r="AN81" s="2">
        <v>62</v>
      </c>
      <c r="AO81">
        <v>3.95</v>
      </c>
      <c r="AP81">
        <v>3</v>
      </c>
      <c r="AQ81" s="2" t="s">
        <v>90</v>
      </c>
      <c r="AR81">
        <v>76.8</v>
      </c>
      <c r="AS81">
        <v>6.3E-2</v>
      </c>
    </row>
    <row r="82" spans="10:45" x14ac:dyDescent="0.3">
      <c r="J82">
        <v>81</v>
      </c>
      <c r="K82" t="s">
        <v>90</v>
      </c>
      <c r="L82">
        <v>34</v>
      </c>
      <c r="M82" t="s">
        <v>117</v>
      </c>
      <c r="N82">
        <v>70</v>
      </c>
      <c r="O82">
        <v>170</v>
      </c>
      <c r="P82">
        <v>14.6</v>
      </c>
      <c r="Q82">
        <v>14.7</v>
      </c>
      <c r="R82">
        <v>-9.9999999999999645E-2</v>
      </c>
      <c r="S82">
        <v>-0.6849315068493127</v>
      </c>
      <c r="T82">
        <v>43</v>
      </c>
      <c r="U82">
        <v>42.3</v>
      </c>
      <c r="V82">
        <v>0.70000000000000284</v>
      </c>
      <c r="W82">
        <v>1.6279069767441927</v>
      </c>
      <c r="X82">
        <v>215</v>
      </c>
      <c r="Y82">
        <v>180</v>
      </c>
      <c r="Z82">
        <v>35</v>
      </c>
      <c r="AA82">
        <v>16.279069767441861</v>
      </c>
      <c r="AB82">
        <v>10.1</v>
      </c>
      <c r="AC82">
        <v>11</v>
      </c>
      <c r="AD82">
        <v>-0.90000000000000036</v>
      </c>
      <c r="AE82">
        <v>12.5</v>
      </c>
      <c r="AF82">
        <v>14.2</v>
      </c>
      <c r="AG82">
        <v>-1.6999999999999993</v>
      </c>
      <c r="AH82">
        <v>2950</v>
      </c>
      <c r="AI82">
        <v>86</v>
      </c>
      <c r="AJ82">
        <v>68</v>
      </c>
      <c r="AK82">
        <v>265</v>
      </c>
      <c r="AL82">
        <v>1500</v>
      </c>
      <c r="AM82" s="2">
        <v>14.6</v>
      </c>
      <c r="AN82" s="2">
        <v>68</v>
      </c>
      <c r="AO82">
        <v>3.8</v>
      </c>
      <c r="AP82">
        <v>3</v>
      </c>
      <c r="AQ82" s="2" t="s">
        <v>90</v>
      </c>
      <c r="AR82">
        <v>78.5</v>
      </c>
      <c r="AS82">
        <v>5.5E-2</v>
      </c>
    </row>
    <row r="83" spans="10:45" x14ac:dyDescent="0.3">
      <c r="J83">
        <v>82</v>
      </c>
      <c r="K83" t="s">
        <v>90</v>
      </c>
      <c r="L83">
        <v>29</v>
      </c>
      <c r="M83" t="s">
        <v>120</v>
      </c>
      <c r="N83">
        <v>65</v>
      </c>
      <c r="O83">
        <v>174</v>
      </c>
      <c r="P83">
        <v>15.3</v>
      </c>
      <c r="Q83">
        <v>14.6</v>
      </c>
      <c r="R83">
        <v>0.70000000000000107</v>
      </c>
      <c r="S83">
        <v>4.5751633986928173</v>
      </c>
      <c r="T83">
        <v>42.8</v>
      </c>
      <c r="U83">
        <v>42.4</v>
      </c>
      <c r="V83">
        <v>0.39999999999999858</v>
      </c>
      <c r="W83">
        <v>0.93457943925233322</v>
      </c>
      <c r="X83">
        <v>230</v>
      </c>
      <c r="Y83">
        <v>155</v>
      </c>
      <c r="Z83">
        <v>75</v>
      </c>
      <c r="AA83">
        <v>32.608695652173914</v>
      </c>
      <c r="AB83">
        <v>10.3</v>
      </c>
      <c r="AC83">
        <v>10.9</v>
      </c>
      <c r="AD83">
        <v>-0.59999999999999964</v>
      </c>
      <c r="AE83">
        <v>14</v>
      </c>
      <c r="AF83">
        <v>14.5</v>
      </c>
      <c r="AG83">
        <v>-0.5</v>
      </c>
      <c r="AH83">
        <v>2850</v>
      </c>
      <c r="AI83">
        <v>80</v>
      </c>
      <c r="AJ83">
        <v>71</v>
      </c>
      <c r="AK83">
        <v>280</v>
      </c>
      <c r="AL83">
        <v>1480</v>
      </c>
      <c r="AM83" s="2">
        <v>15.3</v>
      </c>
      <c r="AN83" s="2">
        <v>71</v>
      </c>
      <c r="AO83">
        <v>4.1500000000000004</v>
      </c>
      <c r="AP83">
        <v>3</v>
      </c>
      <c r="AQ83" s="2" t="s">
        <v>90</v>
      </c>
      <c r="AR83">
        <v>80</v>
      </c>
      <c r="AS83">
        <v>0.05</v>
      </c>
    </row>
    <row r="84" spans="10:45" x14ac:dyDescent="0.3">
      <c r="J84">
        <v>83</v>
      </c>
      <c r="K84" t="s">
        <v>90</v>
      </c>
      <c r="L84">
        <v>25</v>
      </c>
      <c r="M84" t="s">
        <v>120</v>
      </c>
      <c r="N84">
        <v>78</v>
      </c>
      <c r="O84">
        <v>178</v>
      </c>
      <c r="P84">
        <v>14.7</v>
      </c>
      <c r="Q84">
        <v>14.8</v>
      </c>
      <c r="R84">
        <v>-0.10000000000000142</v>
      </c>
      <c r="S84">
        <v>-0.68027210884354705</v>
      </c>
      <c r="T84">
        <v>44.3</v>
      </c>
      <c r="U84">
        <v>44</v>
      </c>
      <c r="V84">
        <v>0.29999999999999716</v>
      </c>
      <c r="W84">
        <v>0.67720090293453095</v>
      </c>
      <c r="X84">
        <v>200</v>
      </c>
      <c r="Y84">
        <v>145</v>
      </c>
      <c r="Z84">
        <v>55</v>
      </c>
      <c r="AA84">
        <v>27.500000000000004</v>
      </c>
      <c r="AB84">
        <v>10.199999999999999</v>
      </c>
      <c r="AC84">
        <v>11.2</v>
      </c>
      <c r="AD84">
        <v>-1</v>
      </c>
      <c r="AE84">
        <v>13</v>
      </c>
      <c r="AF84">
        <v>15</v>
      </c>
      <c r="AG84">
        <v>-2</v>
      </c>
      <c r="AH84">
        <v>3150</v>
      </c>
      <c r="AI84">
        <v>96</v>
      </c>
      <c r="AJ84">
        <v>65</v>
      </c>
      <c r="AK84">
        <v>275</v>
      </c>
      <c r="AL84">
        <v>1530</v>
      </c>
      <c r="AM84" s="2">
        <v>14.7</v>
      </c>
      <c r="AN84" s="2">
        <v>65</v>
      </c>
      <c r="AO84">
        <v>4.0999999999999996</v>
      </c>
      <c r="AP84">
        <v>3</v>
      </c>
      <c r="AQ84" s="2" t="s">
        <v>90</v>
      </c>
      <c r="AR84">
        <v>77</v>
      </c>
      <c r="AS84">
        <v>6.3E-2</v>
      </c>
    </row>
    <row r="85" spans="10:45" x14ac:dyDescent="0.3">
      <c r="J85">
        <v>84</v>
      </c>
      <c r="K85" t="s">
        <v>90</v>
      </c>
      <c r="L85">
        <v>33</v>
      </c>
      <c r="M85" t="s">
        <v>117</v>
      </c>
      <c r="N85">
        <v>74</v>
      </c>
      <c r="O85">
        <v>175</v>
      </c>
      <c r="P85">
        <v>15</v>
      </c>
      <c r="Q85">
        <v>14.4</v>
      </c>
      <c r="R85">
        <v>0.59999999999999964</v>
      </c>
      <c r="S85">
        <v>3.9999999999999973</v>
      </c>
      <c r="T85">
        <v>41.8</v>
      </c>
      <c r="U85">
        <v>41.7</v>
      </c>
      <c r="V85">
        <v>9.9999999999994316E-2</v>
      </c>
      <c r="W85">
        <v>0.23923444976075198</v>
      </c>
      <c r="X85">
        <v>265</v>
      </c>
      <c r="Y85">
        <v>215</v>
      </c>
      <c r="Z85">
        <v>50</v>
      </c>
      <c r="AA85">
        <v>18.867924528301888</v>
      </c>
      <c r="AB85">
        <v>9.6999999999999993</v>
      </c>
      <c r="AC85">
        <v>10.6</v>
      </c>
      <c r="AD85">
        <v>-0.90000000000000036</v>
      </c>
      <c r="AE85">
        <v>12.5</v>
      </c>
      <c r="AF85">
        <v>14.3</v>
      </c>
      <c r="AG85">
        <v>-1.8000000000000007</v>
      </c>
      <c r="AH85">
        <v>3300</v>
      </c>
      <c r="AI85">
        <v>110</v>
      </c>
      <c r="AJ85">
        <v>60</v>
      </c>
      <c r="AK85">
        <v>265</v>
      </c>
      <c r="AL85">
        <v>1520</v>
      </c>
      <c r="AM85" s="2">
        <v>15</v>
      </c>
      <c r="AN85" s="2">
        <v>60</v>
      </c>
      <c r="AO85">
        <v>4</v>
      </c>
      <c r="AP85">
        <v>3</v>
      </c>
      <c r="AQ85" s="2" t="s">
        <v>90</v>
      </c>
      <c r="AR85">
        <v>75.5</v>
      </c>
      <c r="AS85">
        <v>6.6000000000000003E-2</v>
      </c>
    </row>
    <row r="86" spans="10:45" x14ac:dyDescent="0.3">
      <c r="J86">
        <v>85</v>
      </c>
      <c r="K86" t="s">
        <v>90</v>
      </c>
      <c r="L86">
        <v>30</v>
      </c>
      <c r="M86" t="s">
        <v>117</v>
      </c>
      <c r="N86">
        <v>80</v>
      </c>
      <c r="O86">
        <v>160</v>
      </c>
      <c r="P86">
        <v>14.8</v>
      </c>
      <c r="Q86">
        <v>14</v>
      </c>
      <c r="R86">
        <v>0.80000000000000071</v>
      </c>
      <c r="S86">
        <v>5.4054054054054097</v>
      </c>
      <c r="T86">
        <v>40.700000000000003</v>
      </c>
      <c r="U86">
        <v>39.9</v>
      </c>
      <c r="V86">
        <v>0.80000000000000426</v>
      </c>
      <c r="W86">
        <v>1.9656019656019759</v>
      </c>
      <c r="X86">
        <v>245</v>
      </c>
      <c r="Y86">
        <v>195</v>
      </c>
      <c r="Z86">
        <v>50</v>
      </c>
      <c r="AA86">
        <v>20.408163265306122</v>
      </c>
      <c r="AB86">
        <v>10</v>
      </c>
      <c r="AC86">
        <v>10.8</v>
      </c>
      <c r="AD86">
        <v>-0.80000000000000071</v>
      </c>
      <c r="AE86">
        <v>14</v>
      </c>
      <c r="AF86">
        <v>13.7</v>
      </c>
      <c r="AG86">
        <v>0.30000000000000071</v>
      </c>
      <c r="AH86">
        <v>2650</v>
      </c>
      <c r="AI86">
        <v>92</v>
      </c>
      <c r="AJ86">
        <v>57</v>
      </c>
      <c r="AK86">
        <v>259</v>
      </c>
      <c r="AL86">
        <v>1590</v>
      </c>
      <c r="AM86" s="2">
        <v>14.8</v>
      </c>
      <c r="AN86" s="2">
        <v>57</v>
      </c>
      <c r="AO86">
        <v>4.25</v>
      </c>
      <c r="AP86">
        <v>3</v>
      </c>
      <c r="AQ86" s="2" t="s">
        <v>90</v>
      </c>
      <c r="AR86">
        <v>79.3</v>
      </c>
      <c r="AS86">
        <v>7.3999999999999996E-2</v>
      </c>
    </row>
    <row r="87" spans="10:45" x14ac:dyDescent="0.3">
      <c r="J87">
        <v>86</v>
      </c>
      <c r="K87" t="s">
        <v>90</v>
      </c>
      <c r="L87">
        <v>26</v>
      </c>
      <c r="M87" t="s">
        <v>120</v>
      </c>
      <c r="N87">
        <v>77</v>
      </c>
      <c r="O87">
        <v>169</v>
      </c>
      <c r="P87">
        <v>14.9</v>
      </c>
      <c r="Q87">
        <v>14.6</v>
      </c>
      <c r="R87">
        <v>0.30000000000000071</v>
      </c>
      <c r="S87">
        <v>2.013422818791951</v>
      </c>
      <c r="T87">
        <v>43.2</v>
      </c>
      <c r="U87">
        <v>42.6</v>
      </c>
      <c r="V87">
        <v>0.60000000000000142</v>
      </c>
      <c r="W87">
        <v>1.3888888888888922</v>
      </c>
      <c r="X87">
        <v>220</v>
      </c>
      <c r="Y87">
        <v>190</v>
      </c>
      <c r="Z87">
        <v>30</v>
      </c>
      <c r="AA87">
        <v>13.636363636363635</v>
      </c>
      <c r="AB87">
        <v>9.9</v>
      </c>
      <c r="AC87">
        <v>10.4</v>
      </c>
      <c r="AD87">
        <v>-0.5</v>
      </c>
      <c r="AE87">
        <v>13.8</v>
      </c>
      <c r="AF87">
        <v>14.1</v>
      </c>
      <c r="AG87">
        <v>-0.29999999999999893</v>
      </c>
      <c r="AH87">
        <v>3150</v>
      </c>
      <c r="AI87">
        <v>98</v>
      </c>
      <c r="AJ87">
        <v>64</v>
      </c>
      <c r="AK87">
        <v>263</v>
      </c>
      <c r="AL87">
        <v>1575</v>
      </c>
      <c r="AM87" s="2">
        <v>14.9</v>
      </c>
      <c r="AN87" s="2">
        <v>64</v>
      </c>
      <c r="AO87">
        <v>4.05</v>
      </c>
      <c r="AP87">
        <v>3</v>
      </c>
      <c r="AQ87" s="2" t="s">
        <v>90</v>
      </c>
      <c r="AR87">
        <v>77.8</v>
      </c>
      <c r="AS87">
        <v>6.3E-2</v>
      </c>
    </row>
    <row r="88" spans="10:45" x14ac:dyDescent="0.3">
      <c r="J88">
        <v>87</v>
      </c>
      <c r="K88" t="s">
        <v>90</v>
      </c>
      <c r="L88">
        <v>31</v>
      </c>
      <c r="M88" t="s">
        <v>117</v>
      </c>
      <c r="N88">
        <v>79</v>
      </c>
      <c r="O88">
        <v>177</v>
      </c>
      <c r="P88">
        <v>14.6</v>
      </c>
      <c r="Q88">
        <v>14.9</v>
      </c>
      <c r="R88">
        <v>-0.30000000000000071</v>
      </c>
      <c r="S88">
        <v>-2.0547945205479503</v>
      </c>
      <c r="T88">
        <v>42.5</v>
      </c>
      <c r="U88">
        <v>42.8</v>
      </c>
      <c r="V88">
        <v>-0.29999999999999716</v>
      </c>
      <c r="W88">
        <v>-0.70588235294116985</v>
      </c>
      <c r="X88">
        <v>255</v>
      </c>
      <c r="Y88">
        <v>210</v>
      </c>
      <c r="Z88">
        <v>45</v>
      </c>
      <c r="AA88">
        <v>17.647058823529413</v>
      </c>
      <c r="AB88">
        <v>10</v>
      </c>
      <c r="AC88">
        <v>11.1</v>
      </c>
      <c r="AD88">
        <v>-1.0999999999999996</v>
      </c>
      <c r="AE88">
        <v>13</v>
      </c>
      <c r="AF88">
        <v>14</v>
      </c>
      <c r="AG88">
        <v>-1</v>
      </c>
      <c r="AH88">
        <v>3100</v>
      </c>
      <c r="AI88">
        <v>88</v>
      </c>
      <c r="AJ88">
        <v>69</v>
      </c>
      <c r="AK88">
        <v>267</v>
      </c>
      <c r="AL88">
        <v>1540</v>
      </c>
      <c r="AM88" s="2">
        <v>14.6</v>
      </c>
      <c r="AN88" s="2">
        <v>69</v>
      </c>
      <c r="AO88">
        <v>3.9</v>
      </c>
      <c r="AP88">
        <v>3</v>
      </c>
      <c r="AQ88" s="2" t="s">
        <v>90</v>
      </c>
      <c r="AR88">
        <v>76</v>
      </c>
      <c r="AS88">
        <v>5.6000000000000001E-2</v>
      </c>
    </row>
    <row r="89" spans="10:45" x14ac:dyDescent="0.3">
      <c r="J89">
        <v>88</v>
      </c>
      <c r="K89" t="s">
        <v>90</v>
      </c>
      <c r="L89">
        <v>32</v>
      </c>
      <c r="M89" t="s">
        <v>117</v>
      </c>
      <c r="N89">
        <v>79</v>
      </c>
      <c r="O89">
        <v>174</v>
      </c>
      <c r="P89">
        <v>14.7</v>
      </c>
      <c r="Q89">
        <v>14.5</v>
      </c>
      <c r="R89">
        <v>0.19999999999999929</v>
      </c>
      <c r="S89">
        <v>1.3605442176870701</v>
      </c>
      <c r="T89">
        <v>44.7</v>
      </c>
      <c r="U89">
        <v>44</v>
      </c>
      <c r="V89">
        <v>0.70000000000000284</v>
      </c>
      <c r="W89">
        <v>1.5659955257270757</v>
      </c>
      <c r="X89">
        <v>230</v>
      </c>
      <c r="Y89">
        <v>210</v>
      </c>
      <c r="Z89">
        <v>20</v>
      </c>
      <c r="AA89">
        <v>8.695652173913043</v>
      </c>
      <c r="AB89">
        <v>9.8000000000000007</v>
      </c>
      <c r="AC89">
        <v>10.6</v>
      </c>
      <c r="AD89">
        <v>-0.79999999999999893</v>
      </c>
      <c r="AE89">
        <v>12.9</v>
      </c>
      <c r="AF89">
        <v>14.2</v>
      </c>
      <c r="AG89">
        <v>-1.2999999999999989</v>
      </c>
      <c r="AH89">
        <v>3300</v>
      </c>
      <c r="AI89">
        <v>90</v>
      </c>
      <c r="AJ89">
        <v>72</v>
      </c>
      <c r="AK89">
        <v>260</v>
      </c>
      <c r="AL89">
        <v>1450</v>
      </c>
      <c r="AM89" s="2">
        <v>14.7</v>
      </c>
      <c r="AN89" s="2">
        <v>72</v>
      </c>
      <c r="AO89">
        <v>4.3</v>
      </c>
      <c r="AP89">
        <v>3</v>
      </c>
      <c r="AQ89" s="2" t="s">
        <v>90</v>
      </c>
      <c r="AR89">
        <v>78.7</v>
      </c>
      <c r="AS89">
        <v>5.8999999999999997E-2</v>
      </c>
    </row>
    <row r="90" spans="10:45" x14ac:dyDescent="0.3">
      <c r="J90">
        <v>89</v>
      </c>
      <c r="K90" t="s">
        <v>90</v>
      </c>
      <c r="L90">
        <v>28</v>
      </c>
      <c r="M90" t="s">
        <v>120</v>
      </c>
      <c r="N90">
        <v>82</v>
      </c>
      <c r="O90">
        <v>182</v>
      </c>
      <c r="P90">
        <v>15.2</v>
      </c>
      <c r="Q90">
        <v>14.1</v>
      </c>
      <c r="R90">
        <v>1.0999999999999996</v>
      </c>
      <c r="S90">
        <v>7.2368421052631557</v>
      </c>
      <c r="T90">
        <v>41</v>
      </c>
      <c r="U90">
        <v>40.299999999999997</v>
      </c>
      <c r="V90">
        <v>0.70000000000000284</v>
      </c>
      <c r="W90">
        <v>1.7073170731707388</v>
      </c>
      <c r="X90">
        <v>280</v>
      </c>
      <c r="Y90">
        <v>230</v>
      </c>
      <c r="Z90">
        <v>50</v>
      </c>
      <c r="AA90">
        <v>17.857142857142858</v>
      </c>
      <c r="AB90">
        <v>9.8000000000000007</v>
      </c>
      <c r="AC90">
        <v>10.5</v>
      </c>
      <c r="AD90">
        <v>-0.69999999999999929</v>
      </c>
      <c r="AE90">
        <v>13</v>
      </c>
      <c r="AF90">
        <v>13.9</v>
      </c>
      <c r="AG90">
        <v>-0.90000000000000036</v>
      </c>
      <c r="AH90">
        <v>3250</v>
      </c>
      <c r="AI90">
        <v>106</v>
      </c>
      <c r="AJ90">
        <v>61</v>
      </c>
      <c r="AK90">
        <v>275</v>
      </c>
      <c r="AL90">
        <v>1600</v>
      </c>
      <c r="AM90" s="2">
        <v>15.2</v>
      </c>
      <c r="AN90" s="2">
        <v>61</v>
      </c>
      <c r="AO90">
        <v>4.0999999999999996</v>
      </c>
      <c r="AP90">
        <v>3</v>
      </c>
      <c r="AQ90" s="2" t="s">
        <v>90</v>
      </c>
      <c r="AR90">
        <v>79.2</v>
      </c>
      <c r="AS90">
        <v>6.7000000000000004E-2</v>
      </c>
    </row>
    <row r="91" spans="10:45" x14ac:dyDescent="0.3">
      <c r="J91">
        <v>90</v>
      </c>
      <c r="K91" t="s">
        <v>90</v>
      </c>
      <c r="L91">
        <v>30</v>
      </c>
      <c r="M91" t="s">
        <v>117</v>
      </c>
      <c r="N91">
        <v>75</v>
      </c>
      <c r="O91">
        <v>168</v>
      </c>
      <c r="P91">
        <v>14.6</v>
      </c>
      <c r="Q91">
        <v>14</v>
      </c>
      <c r="R91">
        <v>0.59999999999999964</v>
      </c>
      <c r="S91">
        <v>4.1095890410958882</v>
      </c>
      <c r="T91">
        <v>42.1</v>
      </c>
      <c r="U91">
        <v>41</v>
      </c>
      <c r="V91">
        <v>1.1000000000000014</v>
      </c>
      <c r="W91">
        <v>2.6128266033254191</v>
      </c>
      <c r="X91">
        <v>230</v>
      </c>
      <c r="Y91">
        <v>190</v>
      </c>
      <c r="Z91">
        <v>40</v>
      </c>
      <c r="AA91">
        <v>17.391304347826086</v>
      </c>
      <c r="AB91">
        <v>9.8000000000000007</v>
      </c>
      <c r="AC91">
        <v>10.7</v>
      </c>
      <c r="AD91">
        <v>-0.89999999999999858</v>
      </c>
      <c r="AE91">
        <v>13</v>
      </c>
      <c r="AF91">
        <v>14</v>
      </c>
      <c r="AG91">
        <v>-1</v>
      </c>
      <c r="AH91">
        <v>2900</v>
      </c>
      <c r="AI91">
        <v>92</v>
      </c>
      <c r="AJ91">
        <v>62</v>
      </c>
      <c r="AK91">
        <v>265</v>
      </c>
      <c r="AL91">
        <v>1500</v>
      </c>
      <c r="AM91" s="2">
        <v>14.6</v>
      </c>
      <c r="AN91" s="2">
        <v>62</v>
      </c>
      <c r="AO91">
        <v>4</v>
      </c>
      <c r="AP91">
        <v>3</v>
      </c>
      <c r="AQ91" s="2" t="s">
        <v>90</v>
      </c>
      <c r="AR91">
        <v>78</v>
      </c>
      <c r="AS91">
        <v>6.4000000000000001E-2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0E06-6A74-43F0-B554-48D0A21D959A}">
  <dimension ref="A3:E24"/>
  <sheetViews>
    <sheetView workbookViewId="0">
      <selection activeCell="A3" sqref="A3"/>
    </sheetView>
  </sheetViews>
  <sheetFormatPr defaultRowHeight="14.4" x14ac:dyDescent="0.3"/>
  <cols>
    <col min="1" max="1" width="18.77734375" bestFit="1" customWidth="1"/>
    <col min="2" max="2" width="15.5546875" bestFit="1" customWidth="1"/>
    <col min="3" max="3" width="7.44140625" bestFit="1" customWidth="1"/>
    <col min="4" max="4" width="5.5546875" bestFit="1" customWidth="1"/>
    <col min="5" max="5" width="10.77734375" bestFit="1" customWidth="1"/>
  </cols>
  <sheetData>
    <row r="3" spans="1:5" x14ac:dyDescent="0.3">
      <c r="A3" s="6" t="s">
        <v>126</v>
      </c>
      <c r="B3" s="6" t="s">
        <v>187</v>
      </c>
    </row>
    <row r="4" spans="1:5" x14ac:dyDescent="0.3">
      <c r="A4" s="6" t="s">
        <v>123</v>
      </c>
      <c r="B4" s="2" t="s">
        <v>43</v>
      </c>
      <c r="C4" s="2" t="s">
        <v>81</v>
      </c>
      <c r="D4" s="2" t="s">
        <v>90</v>
      </c>
      <c r="E4" s="2" t="s">
        <v>124</v>
      </c>
    </row>
    <row r="5" spans="1:5" x14ac:dyDescent="0.3">
      <c r="A5" s="7">
        <v>160</v>
      </c>
      <c r="B5" s="8">
        <v>1</v>
      </c>
      <c r="C5" s="8"/>
      <c r="D5" s="8">
        <v>1</v>
      </c>
      <c r="E5" s="8">
        <v>2</v>
      </c>
    </row>
    <row r="6" spans="1:5" x14ac:dyDescent="0.3">
      <c r="A6" s="7">
        <v>165</v>
      </c>
      <c r="B6" s="8"/>
      <c r="C6" s="8"/>
      <c r="D6" s="8">
        <v>3</v>
      </c>
      <c r="E6" s="8">
        <v>3</v>
      </c>
    </row>
    <row r="7" spans="1:5" x14ac:dyDescent="0.3">
      <c r="A7" s="7">
        <v>166</v>
      </c>
      <c r="B7" s="8"/>
      <c r="C7" s="8">
        <v>1</v>
      </c>
      <c r="D7" s="8"/>
      <c r="E7" s="8">
        <v>1</v>
      </c>
    </row>
    <row r="8" spans="1:5" x14ac:dyDescent="0.3">
      <c r="A8" s="7">
        <v>167</v>
      </c>
      <c r="B8" s="8"/>
      <c r="C8" s="8">
        <v>1</v>
      </c>
      <c r="D8" s="8"/>
      <c r="E8" s="8">
        <v>1</v>
      </c>
    </row>
    <row r="9" spans="1:5" x14ac:dyDescent="0.3">
      <c r="A9" s="7">
        <v>168</v>
      </c>
      <c r="B9" s="8">
        <v>1</v>
      </c>
      <c r="C9" s="8">
        <v>1</v>
      </c>
      <c r="D9" s="8">
        <v>4</v>
      </c>
      <c r="E9" s="8">
        <v>6</v>
      </c>
    </row>
    <row r="10" spans="1:5" x14ac:dyDescent="0.3">
      <c r="A10" s="7">
        <v>169</v>
      </c>
      <c r="B10" s="8"/>
      <c r="C10" s="8">
        <v>2</v>
      </c>
      <c r="D10" s="8">
        <v>2</v>
      </c>
      <c r="E10" s="8">
        <v>4</v>
      </c>
    </row>
    <row r="11" spans="1:5" x14ac:dyDescent="0.3">
      <c r="A11" s="7">
        <v>170</v>
      </c>
      <c r="B11" s="8">
        <v>6</v>
      </c>
      <c r="C11" s="8">
        <v>2</v>
      </c>
      <c r="D11" s="8">
        <v>2</v>
      </c>
      <c r="E11" s="8">
        <v>10</v>
      </c>
    </row>
    <row r="12" spans="1:5" x14ac:dyDescent="0.3">
      <c r="A12" s="7">
        <v>171</v>
      </c>
      <c r="B12" s="8"/>
      <c r="C12" s="8"/>
      <c r="D12" s="8">
        <v>2</v>
      </c>
      <c r="E12" s="8">
        <v>2</v>
      </c>
    </row>
    <row r="13" spans="1:5" x14ac:dyDescent="0.3">
      <c r="A13" s="7">
        <v>172</v>
      </c>
      <c r="B13" s="8">
        <v>3</v>
      </c>
      <c r="C13" s="8">
        <v>3</v>
      </c>
      <c r="D13" s="8">
        <v>3</v>
      </c>
      <c r="E13" s="8">
        <v>9</v>
      </c>
    </row>
    <row r="14" spans="1:5" x14ac:dyDescent="0.3">
      <c r="A14" s="7">
        <v>173</v>
      </c>
      <c r="B14" s="8">
        <v>1</v>
      </c>
      <c r="C14" s="8">
        <v>1</v>
      </c>
      <c r="D14" s="8">
        <v>1</v>
      </c>
      <c r="E14" s="8">
        <v>3</v>
      </c>
    </row>
    <row r="15" spans="1:5" x14ac:dyDescent="0.3">
      <c r="A15" s="7">
        <v>174</v>
      </c>
      <c r="B15" s="8">
        <v>3</v>
      </c>
      <c r="C15" s="8">
        <v>4</v>
      </c>
      <c r="D15" s="8">
        <v>3</v>
      </c>
      <c r="E15" s="8">
        <v>10</v>
      </c>
    </row>
    <row r="16" spans="1:5" x14ac:dyDescent="0.3">
      <c r="A16" s="7">
        <v>175</v>
      </c>
      <c r="B16" s="8">
        <v>5</v>
      </c>
      <c r="C16" s="8">
        <v>2</v>
      </c>
      <c r="D16" s="8">
        <v>3</v>
      </c>
      <c r="E16" s="8">
        <v>10</v>
      </c>
    </row>
    <row r="17" spans="1:5" x14ac:dyDescent="0.3">
      <c r="A17" s="7">
        <v>176</v>
      </c>
      <c r="B17" s="8">
        <v>1</v>
      </c>
      <c r="C17" s="8">
        <v>3</v>
      </c>
      <c r="D17" s="8">
        <v>2</v>
      </c>
      <c r="E17" s="8">
        <v>6</v>
      </c>
    </row>
    <row r="18" spans="1:5" x14ac:dyDescent="0.3">
      <c r="A18" s="7">
        <v>177</v>
      </c>
      <c r="B18" s="8">
        <v>3</v>
      </c>
      <c r="C18" s="8">
        <v>1</v>
      </c>
      <c r="D18" s="8">
        <v>1</v>
      </c>
      <c r="E18" s="8">
        <v>5</v>
      </c>
    </row>
    <row r="19" spans="1:5" x14ac:dyDescent="0.3">
      <c r="A19" s="7">
        <v>178</v>
      </c>
      <c r="B19" s="8">
        <v>3</v>
      </c>
      <c r="C19" s="8">
        <v>2</v>
      </c>
      <c r="D19" s="8">
        <v>1</v>
      </c>
      <c r="E19" s="8">
        <v>6</v>
      </c>
    </row>
    <row r="20" spans="1:5" x14ac:dyDescent="0.3">
      <c r="A20" s="7">
        <v>179</v>
      </c>
      <c r="B20" s="8">
        <v>2</v>
      </c>
      <c r="C20" s="8">
        <v>1</v>
      </c>
      <c r="D20" s="8"/>
      <c r="E20" s="8">
        <v>3</v>
      </c>
    </row>
    <row r="21" spans="1:5" x14ac:dyDescent="0.3">
      <c r="A21" s="7">
        <v>180</v>
      </c>
      <c r="B21" s="8">
        <v>1</v>
      </c>
      <c r="C21" s="8">
        <v>3</v>
      </c>
      <c r="D21" s="8">
        <v>1</v>
      </c>
      <c r="E21" s="8">
        <v>5</v>
      </c>
    </row>
    <row r="22" spans="1:5" x14ac:dyDescent="0.3">
      <c r="A22" s="7">
        <v>181</v>
      </c>
      <c r="B22" s="8"/>
      <c r="C22" s="8">
        <v>2</v>
      </c>
      <c r="D22" s="8"/>
      <c r="E22" s="8">
        <v>2</v>
      </c>
    </row>
    <row r="23" spans="1:5" x14ac:dyDescent="0.3">
      <c r="A23" s="7">
        <v>182</v>
      </c>
      <c r="B23" s="8"/>
      <c r="C23" s="8">
        <v>1</v>
      </c>
      <c r="D23" s="8">
        <v>1</v>
      </c>
      <c r="E23" s="8">
        <v>2</v>
      </c>
    </row>
    <row r="24" spans="1:5" x14ac:dyDescent="0.3">
      <c r="A24" s="7" t="s">
        <v>124</v>
      </c>
      <c r="B24" s="8">
        <v>30</v>
      </c>
      <c r="C24" s="8">
        <v>30</v>
      </c>
      <c r="D24" s="8">
        <v>30</v>
      </c>
      <c r="E24" s="8">
        <v>90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1921-ACFF-424E-AF2A-C720D64EE5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Amicus</vt:lpstr>
      <vt:lpstr>Comtec</vt:lpstr>
      <vt:lpstr>Optia</vt:lpstr>
      <vt:lpstr>All</vt:lpstr>
      <vt:lpstr>exp</vt:lpstr>
      <vt:lpstr>Sheet2</vt:lpstr>
      <vt:lpstr>Charts and tables</vt:lpstr>
      <vt:lpstr>Sheet7</vt:lpstr>
      <vt:lpstr>Sheet10</vt:lpstr>
      <vt:lpstr>Sheet14</vt:lpstr>
      <vt:lpstr>Sheet4</vt:lpstr>
      <vt:lpstr>Sheet12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2025-05-02T04:52:06Z</dcterms:modified>
</cp:coreProperties>
</file>