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9D6FBB0-7961-46FE-8807-021F8BD2D7D4}" xr6:coauthVersionLast="45" xr6:coauthVersionMax="45" xr10:uidLastSave="{00000000-0000-0000-0000-000000000000}"/>
  <bookViews>
    <workbookView xWindow="-120" yWindow="-120" windowWidth="29040" windowHeight="15840" tabRatio="550" xr2:uid="{00000000-000D-0000-FFFF-FFFF00000000}"/>
  </bookViews>
  <sheets>
    <sheet name="Срочный Рынок" sheetId="6" r:id="rId1"/>
    <sheet name="Данные диаграммы" sheetId="2" state="hidden" r:id="rId2"/>
  </sheets>
  <definedNames>
    <definedName name="_xlnm._FilterDatabase" localSheetId="0" hidden="1">'Срочный Рынок'!$B$18:$C$21</definedName>
    <definedName name="_xlnm.Print_Titles" localSheetId="0">'Срочный Рынок'!$16:$17</definedName>
    <definedName name="ОбщиеДоходыЗаМесяц" localSheetId="0">'Срочный Рынок'!$C$12</definedName>
    <definedName name="ОбщиеДоходыЗаМесяц">#REF!</definedName>
    <definedName name="ОбщиеРасходыЗаМесяц" localSheetId="0">'Срочный Рынок'!$C$9</definedName>
    <definedName name="ОбщиеРасходыЗаМесяц">#REF!</definedName>
    <definedName name="ОбщиеСбереженияЗаМесяц" localSheetId="0">'Срочный Рынок'!$C$15</definedName>
    <definedName name="ОбщиеСбереженияЗаМесяц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6" i="6" l="1"/>
  <c r="L45" i="6"/>
  <c r="L44" i="6"/>
  <c r="H34" i="6"/>
  <c r="H35" i="6" s="1"/>
  <c r="I35" i="6" s="1"/>
  <c r="F36" i="6"/>
  <c r="G36" i="6" s="1"/>
  <c r="I36" i="6"/>
  <c r="F35" i="6"/>
  <c r="J35" i="6" l="1"/>
  <c r="J36" i="6"/>
  <c r="K36" i="6" s="1"/>
  <c r="L35" i="6"/>
  <c r="G35" i="6"/>
  <c r="K35" i="6" s="1"/>
  <c r="L36" i="6" l="1"/>
  <c r="H53" i="6"/>
  <c r="H54" i="6"/>
  <c r="L48" i="6"/>
  <c r="L42" i="6"/>
  <c r="W21" i="6"/>
  <c r="H32" i="6"/>
  <c r="H30" i="6"/>
  <c r="I30" i="6" s="1"/>
  <c r="I31" i="6"/>
  <c r="I34" i="6"/>
  <c r="F34" i="6"/>
  <c r="G34" i="6" s="1"/>
  <c r="F33" i="6"/>
  <c r="J33" i="6" s="1"/>
  <c r="L50" i="6" s="1"/>
  <c r="I33" i="6"/>
  <c r="F31" i="6"/>
  <c r="G31" i="6"/>
  <c r="I32" i="6"/>
  <c r="G32" i="6"/>
  <c r="F30" i="6"/>
  <c r="I26" i="6"/>
  <c r="J26" i="6" s="1"/>
  <c r="I23" i="6"/>
  <c r="J23" i="6" s="1"/>
  <c r="J30" i="6" l="1"/>
  <c r="L30" i="6" s="1"/>
  <c r="J34" i="6"/>
  <c r="L33" i="6"/>
  <c r="G33" i="6"/>
  <c r="K33" i="6" s="1"/>
  <c r="J31" i="6"/>
  <c r="J32" i="6"/>
  <c r="G30" i="6"/>
  <c r="K30" i="6" s="1"/>
  <c r="L23" i="6"/>
  <c r="L26" i="6"/>
  <c r="H56" i="6"/>
  <c r="L49" i="6"/>
  <c r="L43" i="6"/>
  <c r="F29" i="6"/>
  <c r="J29" i="6"/>
  <c r="L29" i="6" s="1"/>
  <c r="F28" i="6"/>
  <c r="F27" i="6"/>
  <c r="I29" i="6"/>
  <c r="I28" i="6"/>
  <c r="J28" i="6"/>
  <c r="L28" i="6" s="1"/>
  <c r="I27" i="6"/>
  <c r="G27" i="6"/>
  <c r="E26" i="6"/>
  <c r="F25" i="6"/>
  <c r="G25" i="6" s="1"/>
  <c r="F24" i="6"/>
  <c r="G24" i="6" s="1"/>
  <c r="I25" i="6"/>
  <c r="I24" i="6"/>
  <c r="L54" i="6" l="1"/>
  <c r="L53" i="6"/>
  <c r="L34" i="6"/>
  <c r="K34" i="6"/>
  <c r="L31" i="6"/>
  <c r="K31" i="6"/>
  <c r="L32" i="6"/>
  <c r="K32" i="6"/>
  <c r="J27" i="6"/>
  <c r="G29" i="6"/>
  <c r="K29" i="6" s="1"/>
  <c r="G28" i="6"/>
  <c r="K28" i="6" s="1"/>
  <c r="J25" i="6"/>
  <c r="K25" i="6" s="1"/>
  <c r="J24" i="6"/>
  <c r="F22" i="6"/>
  <c r="G22" i="6" s="1"/>
  <c r="I22" i="6"/>
  <c r="J22" i="6"/>
  <c r="L22" i="6" s="1"/>
  <c r="F21" i="6"/>
  <c r="G21" i="6" s="1"/>
  <c r="I21" i="6"/>
  <c r="F20" i="6"/>
  <c r="X21" i="6"/>
  <c r="X20" i="6"/>
  <c r="L27" i="6" l="1"/>
  <c r="L52" i="6"/>
  <c r="L55" i="6" s="1"/>
  <c r="L24" i="6"/>
  <c r="L47" i="6"/>
  <c r="L51" i="6" s="1"/>
  <c r="L25" i="6"/>
  <c r="K27" i="6"/>
  <c r="K24" i="6"/>
  <c r="K22" i="6"/>
  <c r="J21" i="6"/>
  <c r="L21" i="6" s="1"/>
  <c r="L56" i="6"/>
  <c r="K21" i="6" l="1"/>
  <c r="R36" i="6" l="1"/>
  <c r="S22" i="6" l="1"/>
  <c r="S23" i="6"/>
  <c r="S24" i="6"/>
  <c r="S25" i="6"/>
  <c r="S26" i="6"/>
  <c r="S27" i="6"/>
  <c r="S28" i="6"/>
  <c r="S29" i="6"/>
  <c r="S30" i="6"/>
  <c r="S31" i="6"/>
  <c r="S32" i="6"/>
  <c r="S33" i="6"/>
  <c r="S34" i="6"/>
  <c r="I20" i="6" l="1"/>
  <c r="I38" i="6" s="1"/>
  <c r="S21" i="6"/>
  <c r="S20" i="6"/>
  <c r="S19" i="6"/>
  <c r="S18" i="6"/>
  <c r="Q36" i="6" l="1"/>
  <c r="O34" i="6" s="1"/>
  <c r="O33" i="6" s="1"/>
  <c r="O32" i="6" s="1"/>
  <c r="O31" i="6" l="1"/>
  <c r="O30" i="6" s="1"/>
  <c r="O29" i="6" s="1"/>
  <c r="O28" i="6" s="1"/>
  <c r="O27" i="6" l="1"/>
  <c r="O26" i="6" l="1"/>
  <c r="O25" i="6" s="1"/>
  <c r="O24" i="6" s="1"/>
  <c r="O23" i="6" s="1"/>
  <c r="O22" i="6" l="1"/>
  <c r="O21" i="6" s="1"/>
  <c r="L41" i="6"/>
  <c r="G20" i="6" l="1"/>
  <c r="E40" i="6" s="1"/>
  <c r="J20" i="6" l="1"/>
  <c r="L20" i="6" s="1"/>
  <c r="J38" i="6" l="1"/>
  <c r="L40" i="6"/>
  <c r="K20" i="6"/>
  <c r="L57" i="6" l="1"/>
  <c r="L38" i="6"/>
  <c r="C15" i="6" s="1"/>
  <c r="D48" i="6"/>
  <c r="E48" i="6" s="1"/>
  <c r="E42" i="6"/>
  <c r="D40" i="6"/>
  <c r="C9" i="6"/>
  <c r="K38" i="6"/>
  <c r="C12" i="6" l="1"/>
  <c r="E41" i="6"/>
  <c r="D41" i="6" s="1"/>
  <c r="D42" i="6" s="1"/>
  <c r="B5" i="2"/>
  <c r="B4" i="2" s="1"/>
  <c r="B6" i="2" l="1"/>
  <c r="S36" i="6" l="1"/>
  <c r="T28" i="6" s="1"/>
  <c r="T29" i="6" l="1"/>
  <c r="T30" i="6" s="1"/>
  <c r="T31" i="6" s="1"/>
  <c r="T32" i="6" s="1"/>
  <c r="T33" i="6" s="1"/>
  <c r="T34" i="6" s="1"/>
  <c r="T27" i="6"/>
  <c r="T26" i="6" s="1"/>
  <c r="T25" i="6" s="1"/>
  <c r="T24" i="6" s="1"/>
  <c r="T23" i="6" s="1"/>
  <c r="T22" i="6" s="1"/>
  <c r="T21" i="6" s="1"/>
  <c r="J40" i="6"/>
</calcChain>
</file>

<file path=xl/sharedStrings.xml><?xml version="1.0" encoding="utf-8"?>
<sst xmlns="http://schemas.openxmlformats.org/spreadsheetml/2006/main" count="82" uniqueCount="48">
  <si>
    <t>ДАННЫЕ ДИАГРАММЫ</t>
  </si>
  <si>
    <t>Дата</t>
  </si>
  <si>
    <t>Инструмент</t>
  </si>
  <si>
    <t>№</t>
  </si>
  <si>
    <t>Цена Тек.</t>
  </si>
  <si>
    <t>Цена О.</t>
  </si>
  <si>
    <t xml:space="preserve">Не исполненные сделки </t>
  </si>
  <si>
    <t>Срочный Рынок</t>
  </si>
  <si>
    <t>График</t>
  </si>
  <si>
    <t>Сумма</t>
  </si>
  <si>
    <t>%</t>
  </si>
  <si>
    <t>кол-во</t>
  </si>
  <si>
    <t>Начальный Портфель</t>
  </si>
  <si>
    <t>Позиции</t>
  </si>
  <si>
    <t>Кэш</t>
  </si>
  <si>
    <t>ИТОГО</t>
  </si>
  <si>
    <t>Итого</t>
  </si>
  <si>
    <t>Сделка</t>
  </si>
  <si>
    <t>Рез (руб)</t>
  </si>
  <si>
    <t>% к сделке</t>
  </si>
  <si>
    <t xml:space="preserve">% к счету </t>
  </si>
  <si>
    <t>Результат</t>
  </si>
  <si>
    <t>Текущий Результат (руб.)</t>
  </si>
  <si>
    <t>Текущий Результат (%)</t>
  </si>
  <si>
    <t>Это модельный портфель Ильи Коровина на рынке фьючерсов и опционов Московской Биржи, в котором он на ваших глазах торгует на реальном рынке и ведет учет всех сделок. Открытие и закрытие позиций происходит в он-лайн режиме, а также путем заранее выставленных лимитных заявок на еженельных прямых Эфирах Опционного Клуба, а также в промежутках между эфирами - текстом в Телеграм-чате  Клуба. Илья  будет подробно объяснять логику открытия и закрытия всех позиций, работу с распределением капитала по торговым сделкам, анализ профиля конструкций и всю иную внутреннюю кухню, которая происходит в голове у управляющего с 32-летним биржевым опытом, когда он принимает рыночные решения.</t>
  </si>
  <si>
    <t>Б</t>
  </si>
  <si>
    <t>Оценка</t>
  </si>
  <si>
    <t xml:space="preserve">          Текущий рынок</t>
  </si>
  <si>
    <t>комисс</t>
  </si>
  <si>
    <t>Bybit</t>
  </si>
  <si>
    <t>ETH</t>
  </si>
  <si>
    <t>О Портфеле "Опционы на Крипте"</t>
  </si>
  <si>
    <t>ETH 31.10 колл 4500</t>
  </si>
  <si>
    <t>ETH 31.10 колл 5500</t>
  </si>
  <si>
    <t>ETH 31.10 Ф</t>
  </si>
  <si>
    <t>ETH Ф робот</t>
  </si>
  <si>
    <t>SOL 31.10 колл 238</t>
  </si>
  <si>
    <t>SOL 31.10 Ф</t>
  </si>
  <si>
    <t>SOL робот</t>
  </si>
  <si>
    <t>BTC 31.10 Пут 116</t>
  </si>
  <si>
    <t>BTC 31.10 Пут 108</t>
  </si>
  <si>
    <t>BTC 31.10 Пут 100</t>
  </si>
  <si>
    <t>SOL</t>
  </si>
  <si>
    <t>BTC</t>
  </si>
  <si>
    <t>ETH 31.10 колл 3800</t>
  </si>
  <si>
    <t>SOL 31.10 колл 195</t>
  </si>
  <si>
    <t>Нач.</t>
  </si>
  <si>
    <t>ETH 28.11 колл 3800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</si>
</sst>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164" formatCode="_-* #,##0.00\ _₽_-;\-* #,##0.00\ _₽_-;_-* &quot;-&quot;??\ _₽_-;_-@_-"/>
    <numFmt numFmtId="165" formatCode="_(&quot;₽&quot;* #,##0.00_);_(&quot;₽&quot;* \(#,##0.00\);_(&quot;₽&quot;* &quot;-&quot;??_);_(@_)"/>
    <numFmt numFmtId="166" formatCode="&quot;£&quot;#,##0"/>
    <numFmt numFmtId="167" formatCode="#,##0.00\ &quot;₽&quot;"/>
    <numFmt numFmtId="168" formatCode="0.0000"/>
    <numFmt numFmtId="169" formatCode="_-* #,##0\ _₽_-;\-* #,##0\ _₽_-;_-* &quot;-&quot;??\ _₽_-;_-@_-"/>
    <numFmt numFmtId="170" formatCode="_-* #,##0\ &quot;₽&quot;_-;\-* #,##0\ &quot;₽&quot;_-;_-* &quot;-&quot;??\ &quot;₽&quot;_-;_-@_-"/>
    <numFmt numFmtId="171" formatCode="_-* #\ ##0\ _₽_-;\-* #\ ##0\ _₽_-;_-* &quot;-&quot;??\ _₽_-;_-@_-"/>
    <numFmt numFmtId="172" formatCode="0.0"/>
    <numFmt numFmtId="173" formatCode="#,##0\ &quot;₽&quot;"/>
    <numFmt numFmtId="174" formatCode="[$$-C09]#,##0.00"/>
    <numFmt numFmtId="175" formatCode="_-[$$-C09]* #,##0.00_-;\-[$$-C09]* #,##0.00_-;_-[$$-C09]* &quot;-&quot;??_-;_-@_-"/>
    <numFmt numFmtId="176" formatCode="_-* #,##0.0\ _₽_-;\-* #,##0.0\ _₽_-;_-* &quot;-&quot;??\ _₽_-;_-@_-"/>
    <numFmt numFmtId="177" formatCode="0.000"/>
    <numFmt numFmtId="178" formatCode="_-* #,##0.000\ _₽_-;\-* #,##0.000\ _₽_-;_-* &quot;-&quot;??\ _₽_-;_-@_-"/>
  </numFmts>
  <fonts count="53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6"/>
      <name val="Century Gothic"/>
      <family val="3"/>
      <charset val="128"/>
      <scheme val="minor"/>
    </font>
    <font>
      <sz val="10"/>
      <color rgb="FF00B050"/>
      <name val="Tahoma"/>
      <family val="2"/>
      <scheme val="major"/>
    </font>
    <font>
      <sz val="24"/>
      <color theme="0"/>
      <name val="Tahoma (Заголовки)"/>
      <charset val="204"/>
    </font>
    <font>
      <sz val="10"/>
      <color theme="2" tint="-9.9978637043366805E-2"/>
      <name val="Century Gothic"/>
      <family val="2"/>
      <charset val="204"/>
      <scheme val="minor"/>
    </font>
    <font>
      <sz val="10"/>
      <color theme="3" tint="0.24994659260841701"/>
      <name val="Century Gothic"/>
      <family val="2"/>
      <scheme val="minor"/>
    </font>
    <font>
      <sz val="18"/>
      <color theme="3" tint="0.24994659260841701"/>
      <name val="Tahoma"/>
      <family val="2"/>
      <scheme val="major"/>
    </font>
    <font>
      <sz val="10"/>
      <color theme="3" tint="0.24994659260841701"/>
      <name val="Tahoma"/>
      <family val="2"/>
      <scheme val="major"/>
    </font>
    <font>
      <b/>
      <sz val="11"/>
      <name val="Tahoma"/>
      <family val="2"/>
      <scheme val="major"/>
    </font>
    <font>
      <b/>
      <sz val="14"/>
      <color theme="1"/>
      <name val="Century Gothic"/>
      <family val="2"/>
      <charset val="204"/>
      <scheme val="minor"/>
    </font>
    <font>
      <b/>
      <sz val="14"/>
      <color theme="5" tint="-0.499984740745262"/>
      <name val="Tahoma"/>
      <family val="2"/>
      <charset val="204"/>
      <scheme val="major"/>
    </font>
    <font>
      <sz val="20"/>
      <color theme="2" tint="-0.749992370372631"/>
      <name val="Tahoma"/>
      <family val="2"/>
      <scheme val="major"/>
    </font>
    <font>
      <sz val="10"/>
      <color theme="2" tint="-0.749992370372631"/>
      <name val="Century Gothic"/>
      <family val="2"/>
      <scheme val="minor"/>
    </font>
    <font>
      <sz val="12"/>
      <color theme="2" tint="-0.749992370372631"/>
      <name val="Tahoma"/>
      <family val="2"/>
      <scheme val="major"/>
    </font>
    <font>
      <sz val="18"/>
      <color theme="2" tint="-0.749992370372631"/>
      <name val="Tahoma (Заголовки)"/>
      <charset val="204"/>
    </font>
    <font>
      <b/>
      <sz val="12"/>
      <color theme="1"/>
      <name val="Century Gothic"/>
      <family val="2"/>
      <charset val="204"/>
      <scheme val="minor"/>
    </font>
    <font>
      <b/>
      <sz val="12"/>
      <color theme="1"/>
      <name val="Century Gothic"/>
      <family val="2"/>
      <scheme val="minor"/>
    </font>
    <font>
      <sz val="12"/>
      <color theme="3" tint="0.24994659260841701"/>
      <name val="Century Gothic"/>
      <family val="2"/>
      <scheme val="minor"/>
    </font>
    <font>
      <sz val="8"/>
      <name val="Century Gothic"/>
      <family val="2"/>
      <scheme val="minor"/>
    </font>
    <font>
      <sz val="14"/>
      <color theme="3" tint="0.24994659260841701"/>
      <name val="Century Gothic"/>
      <family val="2"/>
      <scheme val="minor"/>
    </font>
    <font>
      <sz val="14"/>
      <name val="Tahoma (Заголовки)"/>
      <charset val="204"/>
    </font>
    <font>
      <b/>
      <sz val="12"/>
      <color rgb="FF5A0E0B"/>
      <name val="Century Gothic"/>
      <family val="2"/>
      <scheme val="minor"/>
    </font>
    <font>
      <sz val="12"/>
      <color theme="1" tint="4.9989318521683403E-2"/>
      <name val="Century Gothic"/>
      <family val="2"/>
      <scheme val="minor"/>
    </font>
    <font>
      <b/>
      <sz val="12"/>
      <color rgb="FF0070C0"/>
      <name val="Century Gothic"/>
      <family val="2"/>
      <scheme val="minor"/>
    </font>
    <font>
      <b/>
      <sz val="12"/>
      <color rgb="FFFF0000"/>
      <name val="Century Gothic"/>
      <family val="2"/>
      <scheme val="minor"/>
    </font>
    <font>
      <sz val="12"/>
      <name val="Century Gothic"/>
      <family val="2"/>
      <scheme val="minor"/>
    </font>
    <font>
      <b/>
      <sz val="12"/>
      <color rgb="FF005C2A"/>
      <name val="Century Gothic"/>
      <family val="2"/>
      <scheme val="minor"/>
    </font>
    <font>
      <b/>
      <sz val="12"/>
      <color rgb="FF0B631B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2"/>
      <color rgb="FF005C2A"/>
      <name val="Century Gothic"/>
      <family val="2"/>
      <scheme val="minor"/>
    </font>
    <font>
      <b/>
      <sz val="12"/>
      <name val="Century Gothic"/>
      <family val="2"/>
      <scheme val="minor"/>
    </font>
    <font>
      <sz val="12"/>
      <color theme="1" tint="0.14999847407452621"/>
      <name val="Century Gothic"/>
      <family val="2"/>
      <scheme val="minor"/>
    </font>
    <font>
      <b/>
      <sz val="12"/>
      <color theme="1" tint="0.14999847407452621"/>
      <name val="Century Gothic"/>
      <family val="2"/>
      <scheme val="minor"/>
    </font>
    <font>
      <b/>
      <sz val="12"/>
      <color theme="1" tint="4.9989318521683403E-2"/>
      <name val="Century Gothic"/>
      <family val="2"/>
      <scheme val="minor"/>
    </font>
    <font>
      <sz val="12"/>
      <color theme="1"/>
      <name val="Century Gothic"/>
      <family val="2"/>
      <charset val="204"/>
      <scheme val="minor"/>
    </font>
    <font>
      <b/>
      <sz val="12"/>
      <name val="Century Gothic"/>
      <family val="2"/>
      <charset val="204"/>
      <scheme val="minor"/>
    </font>
    <font>
      <b/>
      <sz val="12"/>
      <color rgb="FF7030A0"/>
      <name val="Century Gothic"/>
      <family val="2"/>
      <scheme val="minor"/>
    </font>
    <font>
      <b/>
      <sz val="12"/>
      <color rgb="FFFF0000"/>
      <name val="Century Gothic"/>
      <family val="2"/>
      <charset val="204"/>
      <scheme val="minor"/>
    </font>
    <font>
      <b/>
      <sz val="12"/>
      <color rgb="FF0B631B"/>
      <name val="Century Gothic"/>
      <family val="2"/>
      <charset val="204"/>
      <scheme val="minor"/>
    </font>
    <font>
      <b/>
      <sz val="12"/>
      <color theme="1" tint="4.9989318521683403E-2"/>
      <name val="Century Gothic"/>
      <family val="2"/>
      <charset val="204"/>
      <scheme val="minor"/>
    </font>
    <font>
      <sz val="12"/>
      <color theme="1" tint="4.9989318521683403E-2"/>
      <name val="Century Gothic"/>
      <family val="2"/>
      <charset val="204"/>
      <scheme val="minor"/>
    </font>
    <font>
      <b/>
      <sz val="12"/>
      <color rgb="FF005C2A"/>
      <name val="Century Gothic"/>
      <family val="2"/>
      <charset val="204"/>
      <scheme val="minor"/>
    </font>
    <font>
      <i/>
      <sz val="12"/>
      <color theme="1"/>
      <name val="Century Gothic"/>
      <family val="2"/>
      <charset val="204"/>
      <scheme val="minor"/>
    </font>
    <font>
      <b/>
      <sz val="12"/>
      <color rgb="FF11425A"/>
      <name val="Century Gothic"/>
      <family val="2"/>
      <scheme val="minor"/>
    </font>
    <font>
      <b/>
      <sz val="14"/>
      <color rgb="FF11425A"/>
      <name val="Century Gothic"/>
      <family val="2"/>
      <charset val="204"/>
      <scheme val="minor"/>
    </font>
    <font>
      <b/>
      <sz val="12"/>
      <color rgb="FF17333F"/>
      <name val="Century Gothic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1632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1D4C5"/>
        <bgColor indexed="64"/>
      </patternFill>
    </fill>
    <fill>
      <patternFill patternType="solid">
        <fgColor rgb="FFF3F1CE"/>
        <bgColor indexed="64"/>
      </patternFill>
    </fill>
    <fill>
      <patternFill patternType="solid">
        <fgColor rgb="FFF3F1CE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1425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3" borderId="0"/>
    <xf numFmtId="0" fontId="5" fillId="2" borderId="0" applyNumberFormat="0" applyBorder="0" applyProtection="0">
      <alignment horizontal="left" vertical="center"/>
    </xf>
    <xf numFmtId="0" fontId="6" fillId="3" borderId="0" applyNumberFormat="0" applyProtection="0">
      <alignment horizontal="left"/>
    </xf>
    <xf numFmtId="0" fontId="4" fillId="3" borderId="1" applyNumberFormat="0" applyAlignment="0" applyProtection="0"/>
    <xf numFmtId="166" fontId="3" fillId="3" borderId="0" applyAlignment="0" applyProtection="0"/>
    <xf numFmtId="0" fontId="1" fillId="0" borderId="0" applyNumberForma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12" fillId="0" borderId="0" applyFont="0" applyFill="0" applyBorder="0" applyAlignment="0" applyProtection="0"/>
  </cellStyleXfs>
  <cellXfs count="277">
    <xf numFmtId="0" fontId="0" fillId="3" borderId="0" xfId="0"/>
    <xf numFmtId="0" fontId="0" fillId="3" borderId="0" xfId="0" applyFont="1" applyAlignment="1">
      <alignment horizontal="left" vertical="center"/>
    </xf>
    <xf numFmtId="0" fontId="0" fillId="3" borderId="0" xfId="0" applyFont="1" applyAlignment="1">
      <alignment horizontal="left"/>
    </xf>
    <xf numFmtId="14" fontId="0" fillId="3" borderId="0" xfId="0" applyNumberFormat="1" applyFont="1" applyAlignment="1">
      <alignment horizontal="left"/>
    </xf>
    <xf numFmtId="0" fontId="5" fillId="2" borderId="0" xfId="1" applyBorder="1">
      <alignment horizontal="left" vertical="center"/>
    </xf>
    <xf numFmtId="9" fontId="7" fillId="3" borderId="0" xfId="0" applyNumberFormat="1" applyFont="1" applyAlignment="1">
      <alignment horizontal="left" vertical="center"/>
    </xf>
    <xf numFmtId="167" fontId="0" fillId="3" borderId="0" xfId="0" applyNumberFormat="1" applyFont="1" applyAlignment="1">
      <alignment horizontal="left"/>
    </xf>
    <xf numFmtId="0" fontId="5" fillId="4" borderId="0" xfId="1" applyFill="1" applyBorder="1">
      <alignment horizontal="left" vertical="center"/>
    </xf>
    <xf numFmtId="10" fontId="0" fillId="3" borderId="0" xfId="0" applyNumberFormat="1" applyFont="1" applyAlignment="1">
      <alignment horizontal="left"/>
    </xf>
    <xf numFmtId="168" fontId="0" fillId="3" borderId="0" xfId="0" applyNumberFormat="1" applyFont="1" applyAlignment="1">
      <alignment horizontal="left"/>
    </xf>
    <xf numFmtId="0" fontId="0" fillId="13" borderId="0" xfId="0" applyFont="1" applyFill="1" applyAlignment="1">
      <alignment horizontal="left" vertical="center"/>
    </xf>
    <xf numFmtId="0" fontId="0" fillId="13" borderId="0" xfId="0" applyFont="1" applyFill="1" applyAlignment="1">
      <alignment horizontal="left"/>
    </xf>
    <xf numFmtId="0" fontId="0" fillId="14" borderId="0" xfId="0" applyFont="1" applyFill="1" applyAlignment="1">
      <alignment horizontal="left" vertical="center"/>
    </xf>
    <xf numFmtId="168" fontId="14" fillId="14" borderId="0" xfId="2" applyNumberFormat="1" applyFont="1" applyFill="1">
      <alignment horizontal="left"/>
    </xf>
    <xf numFmtId="10" fontId="12" fillId="14" borderId="0" xfId="0" applyNumberFormat="1" applyFont="1" applyFill="1" applyAlignment="1">
      <alignment horizontal="left"/>
    </xf>
    <xf numFmtId="0" fontId="21" fillId="14" borderId="0" xfId="0" applyFont="1" applyFill="1" applyAlignment="1"/>
    <xf numFmtId="0" fontId="18" fillId="14" borderId="0" xfId="0" applyFont="1" applyFill="1" applyAlignment="1"/>
    <xf numFmtId="0" fontId="19" fillId="14" borderId="0" xfId="0" applyFont="1" applyFill="1" applyAlignment="1">
      <alignment horizontal="left" vertical="center"/>
    </xf>
    <xf numFmtId="168" fontId="0" fillId="14" borderId="0" xfId="0" applyNumberFormat="1" applyFont="1" applyFill="1" applyAlignment="1">
      <alignment horizontal="left" vertical="center"/>
    </xf>
    <xf numFmtId="10" fontId="0" fillId="14" borderId="0" xfId="0" applyNumberFormat="1" applyFont="1" applyFill="1" applyAlignment="1">
      <alignment horizontal="left" vertical="center"/>
    </xf>
    <xf numFmtId="10" fontId="0" fillId="14" borderId="0" xfId="0" applyNumberFormat="1" applyFont="1" applyFill="1" applyAlignment="1">
      <alignment horizontal="left"/>
    </xf>
    <xf numFmtId="0" fontId="0" fillId="14" borderId="0" xfId="0" applyFont="1" applyFill="1" applyAlignment="1">
      <alignment horizontal="left"/>
    </xf>
    <xf numFmtId="0" fontId="2" fillId="14" borderId="0" xfId="0" applyFont="1" applyFill="1" applyAlignment="1">
      <alignment horizontal="left" vertical="center"/>
    </xf>
    <xf numFmtId="168" fontId="0" fillId="14" borderId="0" xfId="0" applyNumberFormat="1" applyFont="1" applyFill="1"/>
    <xf numFmtId="10" fontId="0" fillId="14" borderId="0" xfId="0" applyNumberFormat="1" applyFont="1" applyFill="1" applyAlignment="1"/>
    <xf numFmtId="0" fontId="0" fillId="14" borderId="0" xfId="0" applyFont="1" applyFill="1" applyBorder="1" applyAlignment="1">
      <alignment horizontal="left" vertical="center"/>
    </xf>
    <xf numFmtId="0" fontId="0" fillId="14" borderId="4" xfId="0" applyFont="1" applyFill="1" applyBorder="1" applyAlignment="1">
      <alignment horizontal="left" vertical="center"/>
    </xf>
    <xf numFmtId="10" fontId="9" fillId="15" borderId="0" xfId="3" applyNumberFormat="1" applyFont="1" applyFill="1" applyBorder="1" applyAlignment="1">
      <alignment horizontal="left" vertical="center"/>
    </xf>
    <xf numFmtId="168" fontId="9" fillId="15" borderId="0" xfId="3" applyNumberFormat="1" applyFont="1" applyFill="1" applyBorder="1" applyAlignment="1">
      <alignment horizontal="left" vertical="center"/>
    </xf>
    <xf numFmtId="0" fontId="0" fillId="14" borderId="4" xfId="0" applyFont="1" applyFill="1" applyBorder="1" applyAlignment="1">
      <alignment horizontal="left"/>
    </xf>
    <xf numFmtId="168" fontId="0" fillId="14" borderId="0" xfId="0" applyNumberFormat="1" applyFont="1" applyFill="1" applyBorder="1" applyAlignment="1">
      <alignment horizontal="left"/>
    </xf>
    <xf numFmtId="10" fontId="0" fillId="14" borderId="0" xfId="0" applyNumberFormat="1" applyFont="1" applyFill="1" applyBorder="1" applyAlignment="1">
      <alignment horizontal="left"/>
    </xf>
    <xf numFmtId="0" fontId="0" fillId="14" borderId="0" xfId="0" applyFont="1" applyFill="1" applyBorder="1" applyAlignment="1">
      <alignment horizontal="left"/>
    </xf>
    <xf numFmtId="0" fontId="0" fillId="14" borderId="3" xfId="0" applyFont="1" applyFill="1" applyBorder="1" applyAlignment="1">
      <alignment horizontal="left"/>
    </xf>
    <xf numFmtId="0" fontId="0" fillId="14" borderId="2" xfId="0" applyFont="1" applyFill="1" applyBorder="1" applyAlignment="1">
      <alignment horizontal="left"/>
    </xf>
    <xf numFmtId="14" fontId="0" fillId="14" borderId="0" xfId="0" applyNumberFormat="1" applyFont="1" applyFill="1" applyAlignment="1">
      <alignment horizontal="left"/>
    </xf>
    <xf numFmtId="168" fontId="0" fillId="14" borderId="0" xfId="0" applyNumberFormat="1" applyFont="1" applyFill="1" applyAlignment="1">
      <alignment horizontal="left"/>
    </xf>
    <xf numFmtId="14" fontId="0" fillId="14" borderId="0" xfId="0" applyNumberFormat="1" applyFont="1" applyFill="1" applyBorder="1" applyAlignment="1">
      <alignment horizontal="left"/>
    </xf>
    <xf numFmtId="0" fontId="16" fillId="20" borderId="14" xfId="0" applyFont="1" applyFill="1" applyBorder="1"/>
    <xf numFmtId="0" fontId="16" fillId="20" borderId="15" xfId="0" applyFont="1" applyFill="1" applyBorder="1"/>
    <xf numFmtId="14" fontId="22" fillId="20" borderId="14" xfId="0" applyNumberFormat="1" applyFont="1" applyFill="1" applyBorder="1" applyAlignment="1">
      <alignment horizontal="center"/>
    </xf>
    <xf numFmtId="0" fontId="24" fillId="14" borderId="0" xfId="0" applyFont="1" applyFill="1" applyAlignment="1">
      <alignment horizontal="left"/>
    </xf>
    <xf numFmtId="168" fontId="26" fillId="14" borderId="0" xfId="0" applyNumberFormat="1" applyFont="1" applyFill="1"/>
    <xf numFmtId="10" fontId="26" fillId="14" borderId="0" xfId="0" applyNumberFormat="1" applyFont="1" applyFill="1" applyAlignment="1"/>
    <xf numFmtId="0" fontId="0" fillId="14" borderId="0" xfId="0" applyFill="1"/>
    <xf numFmtId="0" fontId="23" fillId="7" borderId="14" xfId="0" applyFont="1" applyFill="1" applyBorder="1" applyAlignment="1">
      <alignment horizontal="center"/>
    </xf>
    <xf numFmtId="0" fontId="23" fillId="7" borderId="15" xfId="0" applyFont="1" applyFill="1" applyBorder="1" applyAlignment="1">
      <alignment horizontal="center"/>
    </xf>
    <xf numFmtId="0" fontId="23" fillId="7" borderId="10" xfId="0" applyFont="1" applyFill="1" applyBorder="1" applyAlignment="1">
      <alignment horizontal="center"/>
    </xf>
    <xf numFmtId="0" fontId="5" fillId="25" borderId="0" xfId="1" applyFill="1" applyBorder="1">
      <alignment horizontal="left" vertical="center"/>
    </xf>
    <xf numFmtId="10" fontId="0" fillId="25" borderId="0" xfId="0" applyNumberFormat="1" applyFont="1" applyFill="1" applyAlignment="1">
      <alignment horizontal="left" vertical="center"/>
    </xf>
    <xf numFmtId="168" fontId="0" fillId="25" borderId="0" xfId="0" applyNumberFormat="1" applyFont="1" applyFill="1" applyAlignment="1">
      <alignment horizontal="left" vertical="center"/>
    </xf>
    <xf numFmtId="0" fontId="0" fillId="25" borderId="0" xfId="0" applyFont="1" applyFill="1" applyAlignment="1">
      <alignment horizontal="left" vertical="center"/>
    </xf>
    <xf numFmtId="10" fontId="5" fillId="25" borderId="0" xfId="1" applyNumberFormat="1" applyFill="1" applyBorder="1">
      <alignment horizontal="left" vertical="center"/>
    </xf>
    <xf numFmtId="168" fontId="5" fillId="25" borderId="0" xfId="1" applyNumberFormat="1" applyFill="1" applyBorder="1">
      <alignment horizontal="left" vertical="center"/>
    </xf>
    <xf numFmtId="0" fontId="0" fillId="25" borderId="0" xfId="0" applyFont="1" applyFill="1" applyAlignment="1">
      <alignment horizontal="left"/>
    </xf>
    <xf numFmtId="10" fontId="0" fillId="25" borderId="0" xfId="0" applyNumberFormat="1" applyFont="1" applyFill="1" applyAlignment="1">
      <alignment horizontal="left"/>
    </xf>
    <xf numFmtId="0" fontId="26" fillId="14" borderId="0" xfId="0" applyFont="1" applyFill="1" applyAlignment="1">
      <alignment horizontal="left"/>
    </xf>
    <xf numFmtId="0" fontId="26" fillId="14" borderId="0" xfId="0" applyFont="1" applyFill="1" applyAlignment="1">
      <alignment horizontal="left" vertical="center"/>
    </xf>
    <xf numFmtId="10" fontId="26" fillId="14" borderId="0" xfId="0" applyNumberFormat="1" applyFont="1" applyFill="1" applyAlignment="1">
      <alignment horizontal="left"/>
    </xf>
    <xf numFmtId="0" fontId="24" fillId="14" borderId="0" xfId="0" applyFont="1" applyFill="1" applyAlignment="1">
      <alignment horizontal="left" vertical="center"/>
    </xf>
    <xf numFmtId="167" fontId="24" fillId="17" borderId="14" xfId="0" applyNumberFormat="1" applyFont="1" applyFill="1" applyBorder="1" applyAlignment="1">
      <alignment horizontal="left"/>
    </xf>
    <xf numFmtId="10" fontId="28" fillId="17" borderId="15" xfId="0" applyNumberFormat="1" applyFont="1" applyFill="1" applyBorder="1" applyAlignment="1">
      <alignment horizontal="center"/>
    </xf>
    <xf numFmtId="10" fontId="24" fillId="17" borderId="16" xfId="0" applyNumberFormat="1" applyFont="1" applyFill="1" applyBorder="1" applyAlignment="1">
      <alignment horizontal="left"/>
    </xf>
    <xf numFmtId="167" fontId="28" fillId="3" borderId="14" xfId="0" applyNumberFormat="1" applyFont="1" applyBorder="1" applyAlignment="1">
      <alignment horizontal="center"/>
    </xf>
    <xf numFmtId="10" fontId="28" fillId="3" borderId="10" xfId="0" applyNumberFormat="1" applyFont="1" applyBorder="1" applyAlignment="1">
      <alignment horizontal="center"/>
    </xf>
    <xf numFmtId="10" fontId="28" fillId="3" borderId="16" xfId="0" applyNumberFormat="1" applyFont="1" applyBorder="1" applyAlignment="1">
      <alignment horizontal="center"/>
    </xf>
    <xf numFmtId="16" fontId="28" fillId="3" borderId="8" xfId="0" applyNumberFormat="1" applyFont="1" applyBorder="1" applyAlignment="1">
      <alignment horizontal="center"/>
    </xf>
    <xf numFmtId="169" fontId="28" fillId="3" borderId="28" xfId="0" applyNumberFormat="1" applyFont="1" applyBorder="1"/>
    <xf numFmtId="0" fontId="24" fillId="18" borderId="14" xfId="0" applyFont="1" applyFill="1" applyBorder="1" applyAlignment="1">
      <alignment horizontal="left" vertical="center"/>
    </xf>
    <xf numFmtId="14" fontId="24" fillId="18" borderId="15" xfId="0" applyNumberFormat="1" applyFont="1" applyFill="1" applyBorder="1" applyAlignment="1">
      <alignment horizontal="left"/>
    </xf>
    <xf numFmtId="168" fontId="24" fillId="18" borderId="16" xfId="0" applyNumberFormat="1" applyFont="1" applyFill="1" applyBorder="1" applyAlignment="1">
      <alignment horizontal="left"/>
    </xf>
    <xf numFmtId="0" fontId="24" fillId="14" borderId="0" xfId="0" applyFont="1" applyFill="1"/>
    <xf numFmtId="171" fontId="30" fillId="8" borderId="22" xfId="7" applyNumberFormat="1" applyFont="1" applyFill="1" applyBorder="1"/>
    <xf numFmtId="172" fontId="23" fillId="8" borderId="7" xfId="0" applyNumberFormat="1" applyFont="1" applyFill="1" applyBorder="1" applyAlignment="1">
      <alignment horizontal="center"/>
    </xf>
    <xf numFmtId="171" fontId="30" fillId="8" borderId="31" xfId="7" applyNumberFormat="1" applyFont="1" applyFill="1" applyBorder="1"/>
    <xf numFmtId="173" fontId="29" fillId="8" borderId="7" xfId="8" applyNumberFormat="1" applyFont="1" applyFill="1" applyBorder="1"/>
    <xf numFmtId="171" fontId="30" fillId="8" borderId="25" xfId="7" applyNumberFormat="1" applyFont="1" applyFill="1" applyBorder="1"/>
    <xf numFmtId="172" fontId="23" fillId="12" borderId="5" xfId="0" applyNumberFormat="1" applyFont="1" applyFill="1" applyBorder="1" applyAlignment="1">
      <alignment horizontal="center"/>
    </xf>
    <xf numFmtId="171" fontId="30" fillId="12" borderId="22" xfId="7" applyNumberFormat="1" applyFont="1" applyFill="1" applyBorder="1"/>
    <xf numFmtId="173" fontId="32" fillId="12" borderId="5" xfId="8" applyNumberFormat="1" applyFont="1" applyFill="1" applyBorder="1"/>
    <xf numFmtId="170" fontId="31" fillId="19" borderId="33" xfId="8" applyNumberFormat="1" applyFont="1" applyFill="1" applyBorder="1"/>
    <xf numFmtId="172" fontId="23" fillId="12" borderId="7" xfId="0" applyNumberFormat="1" applyFont="1" applyFill="1" applyBorder="1" applyAlignment="1">
      <alignment horizontal="center"/>
    </xf>
    <xf numFmtId="171" fontId="30" fillId="12" borderId="31" xfId="7" applyNumberFormat="1" applyFont="1" applyFill="1" applyBorder="1"/>
    <xf numFmtId="170" fontId="33" fillId="19" borderId="7" xfId="8" applyNumberFormat="1" applyFont="1" applyFill="1" applyBorder="1"/>
    <xf numFmtId="172" fontId="23" fillId="10" borderId="7" xfId="0" applyNumberFormat="1" applyFont="1" applyFill="1" applyBorder="1" applyAlignment="1">
      <alignment horizontal="center"/>
    </xf>
    <xf numFmtId="170" fontId="34" fillId="19" borderId="8" xfId="8" applyNumberFormat="1" applyFont="1" applyFill="1" applyBorder="1"/>
    <xf numFmtId="172" fontId="23" fillId="12" borderId="8" xfId="0" applyNumberFormat="1" applyFont="1" applyFill="1" applyBorder="1" applyAlignment="1">
      <alignment horizontal="center"/>
    </xf>
    <xf numFmtId="171" fontId="30" fillId="12" borderId="23" xfId="7" applyNumberFormat="1" applyFont="1" applyFill="1" applyBorder="1"/>
    <xf numFmtId="0" fontId="36" fillId="18" borderId="10" xfId="0" applyFont="1" applyFill="1" applyBorder="1"/>
    <xf numFmtId="0" fontId="23" fillId="18" borderId="10" xfId="0" applyFont="1" applyFill="1" applyBorder="1" applyAlignment="1">
      <alignment horizontal="center"/>
    </xf>
    <xf numFmtId="0" fontId="24" fillId="18" borderId="14" xfId="0" applyFont="1" applyFill="1" applyBorder="1"/>
    <xf numFmtId="171" fontId="24" fillId="18" borderId="15" xfId="7" applyNumberFormat="1" applyFont="1" applyFill="1" applyBorder="1"/>
    <xf numFmtId="173" fontId="24" fillId="18" borderId="16" xfId="0" applyNumberFormat="1" applyFont="1" applyFill="1" applyBorder="1"/>
    <xf numFmtId="171" fontId="23" fillId="5" borderId="24" xfId="7" applyNumberFormat="1" applyFont="1" applyFill="1" applyBorder="1"/>
    <xf numFmtId="0" fontId="24" fillId="10" borderId="14" xfId="0" applyFont="1" applyFill="1" applyBorder="1"/>
    <xf numFmtId="0" fontId="23" fillId="10" borderId="15" xfId="0" applyFont="1" applyFill="1" applyBorder="1"/>
    <xf numFmtId="0" fontId="24" fillId="10" borderId="15" xfId="0" applyFont="1" applyFill="1" applyBorder="1" applyAlignment="1">
      <alignment horizontal="left" vertical="center"/>
    </xf>
    <xf numFmtId="0" fontId="23" fillId="24" borderId="14" xfId="0" applyFont="1" applyFill="1" applyBorder="1" applyAlignment="1">
      <alignment horizontal="left"/>
    </xf>
    <xf numFmtId="0" fontId="23" fillId="5" borderId="15" xfId="0" applyFont="1" applyFill="1" applyBorder="1" applyAlignment="1">
      <alignment horizontal="left"/>
    </xf>
    <xf numFmtId="0" fontId="24" fillId="5" borderId="16" xfId="0" applyFont="1" applyFill="1" applyBorder="1" applyAlignment="1">
      <alignment horizontal="center"/>
    </xf>
    <xf numFmtId="0" fontId="23" fillId="10" borderId="19" xfId="0" applyFont="1" applyFill="1" applyBorder="1" applyAlignment="1">
      <alignment horizontal="center"/>
    </xf>
    <xf numFmtId="0" fontId="23" fillId="10" borderId="0" xfId="0" applyFont="1" applyFill="1" applyBorder="1" applyAlignment="1">
      <alignment horizontal="center"/>
    </xf>
    <xf numFmtId="0" fontId="23" fillId="24" borderId="20" xfId="0" applyFont="1" applyFill="1" applyBorder="1" applyAlignment="1">
      <alignment horizontal="center"/>
    </xf>
    <xf numFmtId="0" fontId="23" fillId="5" borderId="0" xfId="0" applyFont="1" applyFill="1" applyBorder="1" applyAlignment="1">
      <alignment horizontal="center"/>
    </xf>
    <xf numFmtId="0" fontId="23" fillId="5" borderId="11" xfId="0" applyFont="1" applyFill="1" applyBorder="1" applyAlignment="1">
      <alignment horizontal="center"/>
    </xf>
    <xf numFmtId="10" fontId="32" fillId="22" borderId="18" xfId="0" applyNumberFormat="1" applyFont="1" applyFill="1" applyBorder="1"/>
    <xf numFmtId="0" fontId="23" fillId="9" borderId="10" xfId="0" applyFont="1" applyFill="1" applyBorder="1" applyAlignment="1">
      <alignment horizontal="center"/>
    </xf>
    <xf numFmtId="10" fontId="23" fillId="9" borderId="10" xfId="0" applyNumberFormat="1" applyFont="1" applyFill="1" applyBorder="1" applyAlignment="1">
      <alignment horizontal="center"/>
    </xf>
    <xf numFmtId="10" fontId="23" fillId="22" borderId="24" xfId="0" applyNumberFormat="1" applyFont="1" applyFill="1" applyBorder="1"/>
    <xf numFmtId="0" fontId="23" fillId="16" borderId="10" xfId="0" applyFont="1" applyFill="1" applyBorder="1" applyAlignment="1">
      <alignment horizontal="center"/>
    </xf>
    <xf numFmtId="10" fontId="39" fillId="16" borderId="10" xfId="6" applyNumberFormat="1" applyFont="1" applyFill="1" applyBorder="1" applyAlignment="1">
      <alignment horizontal="center"/>
    </xf>
    <xf numFmtId="0" fontId="23" fillId="21" borderId="10" xfId="0" applyFont="1" applyFill="1" applyBorder="1" applyAlignment="1">
      <alignment horizontal="center"/>
    </xf>
    <xf numFmtId="10" fontId="39" fillId="21" borderId="10" xfId="6" applyNumberFormat="1" applyFont="1" applyFill="1" applyBorder="1" applyAlignment="1">
      <alignment horizontal="center"/>
    </xf>
    <xf numFmtId="0" fontId="40" fillId="19" borderId="10" xfId="0" applyFont="1" applyFill="1" applyBorder="1" applyAlignment="1">
      <alignment horizontal="center"/>
    </xf>
    <xf numFmtId="16" fontId="43" fillId="3" borderId="5" xfId="0" applyNumberFormat="1" applyFont="1" applyBorder="1" applyAlignment="1">
      <alignment horizontal="center"/>
    </xf>
    <xf numFmtId="169" fontId="43" fillId="3" borderId="26" xfId="0" applyNumberFormat="1" applyFont="1" applyBorder="1"/>
    <xf numFmtId="10" fontId="43" fillId="6" borderId="6" xfId="6" applyNumberFormat="1" applyFont="1" applyFill="1" applyBorder="1"/>
    <xf numFmtId="171" fontId="32" fillId="8" borderId="26" xfId="7" applyNumberFormat="1" applyFont="1" applyFill="1" applyBorder="1"/>
    <xf numFmtId="171" fontId="32" fillId="8" borderId="27" xfId="7" applyNumberFormat="1" applyFont="1" applyFill="1" applyBorder="1"/>
    <xf numFmtId="171" fontId="32" fillId="8" borderId="29" xfId="7" applyNumberFormat="1" applyFont="1" applyFill="1" applyBorder="1"/>
    <xf numFmtId="171" fontId="32" fillId="12" borderId="26" xfId="7" applyNumberFormat="1" applyFont="1" applyFill="1" applyBorder="1"/>
    <xf numFmtId="171" fontId="32" fillId="12" borderId="27" xfId="7" applyNumberFormat="1" applyFont="1" applyFill="1" applyBorder="1"/>
    <xf numFmtId="171" fontId="32" fillId="12" borderId="28" xfId="7" applyNumberFormat="1" applyFont="1" applyFill="1" applyBorder="1"/>
    <xf numFmtId="171" fontId="44" fillId="23" borderId="7" xfId="7" applyNumberFormat="1" applyFont="1" applyFill="1" applyBorder="1"/>
    <xf numFmtId="171" fontId="45" fillId="23" borderId="7" xfId="7" applyNumberFormat="1" applyFont="1" applyFill="1" applyBorder="1"/>
    <xf numFmtId="173" fontId="32" fillId="10" borderId="5" xfId="8" applyNumberFormat="1" applyFont="1" applyFill="1" applyBorder="1"/>
    <xf numFmtId="170" fontId="34" fillId="19" borderId="7" xfId="8" applyNumberFormat="1" applyFont="1" applyFill="1" applyBorder="1"/>
    <xf numFmtId="170" fontId="31" fillId="19" borderId="5" xfId="8" applyNumberFormat="1" applyFont="1" applyFill="1" applyBorder="1"/>
    <xf numFmtId="171" fontId="44" fillId="23" borderId="8" xfId="7" applyNumberFormat="1" applyFont="1" applyFill="1" applyBorder="1"/>
    <xf numFmtId="171" fontId="48" fillId="23" borderId="5" xfId="7" applyNumberFormat="1" applyFont="1" applyFill="1" applyBorder="1"/>
    <xf numFmtId="172" fontId="23" fillId="28" borderId="5" xfId="0" applyNumberFormat="1" applyFont="1" applyFill="1" applyBorder="1" applyAlignment="1">
      <alignment horizontal="center"/>
    </xf>
    <xf numFmtId="172" fontId="23" fillId="28" borderId="7" xfId="0" applyNumberFormat="1" applyFont="1" applyFill="1" applyBorder="1" applyAlignment="1">
      <alignment horizontal="center"/>
    </xf>
    <xf numFmtId="173" fontId="29" fillId="28" borderId="5" xfId="8" applyNumberFormat="1" applyFont="1" applyFill="1" applyBorder="1"/>
    <xf numFmtId="173" fontId="32" fillId="28" borderId="5" xfId="8" applyNumberFormat="1" applyFont="1" applyFill="1" applyBorder="1"/>
    <xf numFmtId="172" fontId="23" fillId="8" borderId="30" xfId="0" applyNumberFormat="1" applyFont="1" applyFill="1" applyBorder="1" applyAlignment="1">
      <alignment horizontal="center"/>
    </xf>
    <xf numFmtId="173" fontId="29" fillId="8" borderId="30" xfId="8" applyNumberFormat="1" applyFont="1" applyFill="1" applyBorder="1"/>
    <xf numFmtId="0" fontId="24" fillId="24" borderId="15" xfId="0" applyFont="1" applyFill="1" applyBorder="1" applyAlignment="1">
      <alignment horizontal="left"/>
    </xf>
    <xf numFmtId="0" fontId="23" fillId="24" borderId="34" xfId="0" applyFont="1" applyFill="1" applyBorder="1" applyAlignment="1">
      <alignment horizontal="center"/>
    </xf>
    <xf numFmtId="0" fontId="24" fillId="5" borderId="14" xfId="0" applyFont="1" applyFill="1" applyBorder="1" applyAlignment="1">
      <alignment horizontal="left" vertical="center"/>
    </xf>
    <xf numFmtId="0" fontId="23" fillId="5" borderId="19" xfId="0" applyFont="1" applyFill="1" applyBorder="1" applyAlignment="1">
      <alignment horizontal="center"/>
    </xf>
    <xf numFmtId="10" fontId="23" fillId="5" borderId="24" xfId="0" applyNumberFormat="1" applyFont="1" applyFill="1" applyBorder="1" applyAlignment="1">
      <alignment horizontal="center"/>
    </xf>
    <xf numFmtId="172" fontId="23" fillId="20" borderId="7" xfId="0" applyNumberFormat="1" applyFont="1" applyFill="1" applyBorder="1" applyAlignment="1">
      <alignment horizontal="center"/>
    </xf>
    <xf numFmtId="173" fontId="32" fillId="20" borderId="5" xfId="8" applyNumberFormat="1" applyFont="1" applyFill="1" applyBorder="1"/>
    <xf numFmtId="0" fontId="42" fillId="26" borderId="24" xfId="0" applyFont="1" applyFill="1" applyBorder="1" applyAlignment="1">
      <alignment horizontal="center"/>
    </xf>
    <xf numFmtId="170" fontId="46" fillId="26" borderId="24" xfId="8" applyNumberFormat="1" applyFont="1" applyFill="1" applyBorder="1"/>
    <xf numFmtId="10" fontId="32" fillId="22" borderId="6" xfId="0" applyNumberFormat="1" applyFont="1" applyFill="1" applyBorder="1"/>
    <xf numFmtId="10" fontId="32" fillId="22" borderId="35" xfId="0" applyNumberFormat="1" applyFont="1" applyFill="1" applyBorder="1"/>
    <xf numFmtId="174" fontId="22" fillId="20" borderId="10" xfId="8" applyNumberFormat="1" applyFont="1" applyFill="1" applyBorder="1" applyAlignment="1">
      <alignment horizontal="center"/>
    </xf>
    <xf numFmtId="0" fontId="41" fillId="12" borderId="17" xfId="0" applyFont="1" applyFill="1" applyBorder="1" applyAlignment="1">
      <alignment horizontal="center"/>
    </xf>
    <xf numFmtId="16" fontId="35" fillId="12" borderId="18" xfId="0" applyNumberFormat="1" applyFont="1" applyFill="1" applyBorder="1" applyAlignment="1">
      <alignment horizontal="center"/>
    </xf>
    <xf numFmtId="0" fontId="35" fillId="12" borderId="18" xfId="0" applyFont="1" applyFill="1" applyBorder="1"/>
    <xf numFmtId="1" fontId="35" fillId="12" borderId="18" xfId="8" applyNumberFormat="1" applyFont="1" applyFill="1" applyBorder="1" applyAlignment="1">
      <alignment horizontal="center"/>
    </xf>
    <xf numFmtId="0" fontId="38" fillId="11" borderId="24" xfId="0" applyFont="1" applyFill="1" applyBorder="1"/>
    <xf numFmtId="175" fontId="23" fillId="24" borderId="38" xfId="8" applyNumberFormat="1" applyFont="1" applyFill="1" applyBorder="1"/>
    <xf numFmtId="175" fontId="23" fillId="5" borderId="24" xfId="8" applyNumberFormat="1" applyFont="1" applyFill="1" applyBorder="1"/>
    <xf numFmtId="175" fontId="0" fillId="14" borderId="0" xfId="0" applyNumberFormat="1" applyFont="1" applyFill="1" applyAlignment="1">
      <alignment horizontal="left"/>
    </xf>
    <xf numFmtId="175" fontId="24" fillId="14" borderId="0" xfId="0" applyNumberFormat="1" applyFont="1" applyFill="1" applyAlignment="1">
      <alignment horizontal="left"/>
    </xf>
    <xf numFmtId="175" fontId="23" fillId="9" borderId="10" xfId="8" applyNumberFormat="1" applyFont="1" applyFill="1" applyBorder="1" applyAlignment="1">
      <alignment horizontal="center"/>
    </xf>
    <xf numFmtId="175" fontId="39" fillId="16" borderId="10" xfId="8" applyNumberFormat="1" applyFont="1" applyFill="1" applyBorder="1" applyAlignment="1">
      <alignment horizontal="center"/>
    </xf>
    <xf numFmtId="175" fontId="39" fillId="21" borderId="10" xfId="8" applyNumberFormat="1" applyFont="1" applyFill="1" applyBorder="1" applyAlignment="1">
      <alignment horizontal="center"/>
    </xf>
    <xf numFmtId="175" fontId="23" fillId="7" borderId="14" xfId="8" applyNumberFormat="1" applyFont="1" applyFill="1" applyBorder="1"/>
    <xf numFmtId="175" fontId="23" fillId="7" borderId="15" xfId="8" applyNumberFormat="1" applyFont="1" applyFill="1" applyBorder="1"/>
    <xf numFmtId="175" fontId="23" fillId="21" borderId="10" xfId="8" applyNumberFormat="1" applyFont="1" applyFill="1" applyBorder="1"/>
    <xf numFmtId="175" fontId="47" fillId="13" borderId="5" xfId="0" applyNumberFormat="1" applyFont="1" applyFill="1" applyBorder="1" applyAlignment="1">
      <alignment horizontal="left"/>
    </xf>
    <xf numFmtId="175" fontId="47" fillId="13" borderId="7" xfId="0" applyNumberFormat="1" applyFont="1" applyFill="1" applyBorder="1" applyAlignment="1">
      <alignment horizontal="left"/>
    </xf>
    <xf numFmtId="175" fontId="46" fillId="26" borderId="24" xfId="8" applyNumberFormat="1" applyFont="1" applyFill="1" applyBorder="1"/>
    <xf numFmtId="175" fontId="46" fillId="5" borderId="24" xfId="0" applyNumberFormat="1" applyFont="1" applyFill="1" applyBorder="1" applyAlignment="1">
      <alignment horizontal="left"/>
    </xf>
    <xf numFmtId="175" fontId="37" fillId="27" borderId="24" xfId="0" applyNumberFormat="1" applyFont="1" applyFill="1" applyBorder="1"/>
    <xf numFmtId="175" fontId="23" fillId="10" borderId="13" xfId="0" applyNumberFormat="1" applyFont="1" applyFill="1" applyBorder="1"/>
    <xf numFmtId="175" fontId="24" fillId="14" borderId="0" xfId="0" applyNumberFormat="1" applyFont="1" applyFill="1"/>
    <xf numFmtId="175" fontId="30" fillId="14" borderId="0" xfId="8" applyNumberFormat="1" applyFont="1" applyFill="1" applyBorder="1"/>
    <xf numFmtId="176" fontId="35" fillId="12" borderId="18" xfId="7" applyNumberFormat="1" applyFont="1" applyFill="1" applyBorder="1"/>
    <xf numFmtId="0" fontId="49" fillId="12" borderId="37" xfId="0" applyFont="1" applyFill="1" applyBorder="1" applyAlignment="1">
      <alignment horizontal="center"/>
    </xf>
    <xf numFmtId="16" fontId="49" fillId="12" borderId="35" xfId="0" applyNumberFormat="1" applyFont="1" applyFill="1" applyBorder="1" applyAlignment="1">
      <alignment horizontal="center"/>
    </xf>
    <xf numFmtId="0" fontId="49" fillId="12" borderId="35" xfId="0" applyFont="1" applyFill="1" applyBorder="1"/>
    <xf numFmtId="176" fontId="49" fillId="12" borderId="35" xfId="7" applyNumberFormat="1" applyFont="1" applyFill="1" applyBorder="1"/>
    <xf numFmtId="1" fontId="49" fillId="12" borderId="35" xfId="8" applyNumberFormat="1" applyFont="1" applyFill="1" applyBorder="1" applyAlignment="1">
      <alignment horizontal="center"/>
    </xf>
    <xf numFmtId="0" fontId="49" fillId="23" borderId="37" xfId="0" applyFont="1" applyFill="1" applyBorder="1" applyAlignment="1">
      <alignment horizontal="center"/>
    </xf>
    <xf numFmtId="16" fontId="35" fillId="23" borderId="18" xfId="0" applyNumberFormat="1" applyFont="1" applyFill="1" applyBorder="1" applyAlignment="1">
      <alignment horizontal="center"/>
    </xf>
    <xf numFmtId="0" fontId="35" fillId="23" borderId="18" xfId="0" applyFont="1" applyFill="1" applyBorder="1"/>
    <xf numFmtId="176" fontId="35" fillId="23" borderId="18" xfId="7" applyNumberFormat="1" applyFont="1" applyFill="1" applyBorder="1"/>
    <xf numFmtId="1" fontId="35" fillId="23" borderId="18" xfId="8" applyNumberFormat="1" applyFont="1" applyFill="1" applyBorder="1" applyAlignment="1">
      <alignment horizontal="center"/>
    </xf>
    <xf numFmtId="2" fontId="35" fillId="23" borderId="18" xfId="8" applyNumberFormat="1" applyFont="1" applyFill="1" applyBorder="1" applyAlignment="1">
      <alignment horizontal="center"/>
    </xf>
    <xf numFmtId="0" fontId="49" fillId="23" borderId="18" xfId="0" applyFont="1" applyFill="1" applyBorder="1"/>
    <xf numFmtId="0" fontId="41" fillId="29" borderId="17" xfId="0" applyFont="1" applyFill="1" applyBorder="1" applyAlignment="1">
      <alignment horizontal="center"/>
    </xf>
    <xf numFmtId="16" fontId="35" fillId="29" borderId="18" xfId="0" applyNumberFormat="1" applyFont="1" applyFill="1" applyBorder="1" applyAlignment="1">
      <alignment horizontal="center"/>
    </xf>
    <xf numFmtId="0" fontId="35" fillId="29" borderId="18" xfId="0" applyFont="1" applyFill="1" applyBorder="1"/>
    <xf numFmtId="1" fontId="35" fillId="29" borderId="18" xfId="8" applyNumberFormat="1" applyFont="1" applyFill="1" applyBorder="1" applyAlignment="1">
      <alignment horizontal="center"/>
    </xf>
    <xf numFmtId="178" fontId="35" fillId="29" borderId="18" xfId="7" applyNumberFormat="1" applyFont="1" applyFill="1" applyBorder="1"/>
    <xf numFmtId="175" fontId="35" fillId="12" borderId="22" xfId="8" applyNumberFormat="1" applyFont="1" applyFill="1" applyBorder="1"/>
    <xf numFmtId="175" fontId="49" fillId="12" borderId="39" xfId="8" applyNumberFormat="1" applyFont="1" applyFill="1" applyBorder="1"/>
    <xf numFmtId="175" fontId="35" fillId="23" borderId="22" xfId="8" applyNumberFormat="1" applyFont="1" applyFill="1" applyBorder="1"/>
    <xf numFmtId="175" fontId="35" fillId="29" borderId="22" xfId="8" applyNumberFormat="1" applyFont="1" applyFill="1" applyBorder="1"/>
    <xf numFmtId="175" fontId="32" fillId="22" borderId="26" xfId="8" applyNumberFormat="1" applyFont="1" applyFill="1" applyBorder="1"/>
    <xf numFmtId="175" fontId="32" fillId="22" borderId="40" xfId="8" applyNumberFormat="1" applyFont="1" applyFill="1" applyBorder="1"/>
    <xf numFmtId="2" fontId="30" fillId="28" borderId="17" xfId="8" applyNumberFormat="1" applyFont="1" applyFill="1" applyBorder="1" applyAlignment="1">
      <alignment horizontal="center"/>
    </xf>
    <xf numFmtId="175" fontId="35" fillId="28" borderId="6" xfId="8" applyNumberFormat="1" applyFont="1" applyFill="1" applyBorder="1"/>
    <xf numFmtId="2" fontId="30" fillId="28" borderId="37" xfId="8" applyNumberFormat="1" applyFont="1" applyFill="1" applyBorder="1" applyAlignment="1">
      <alignment horizontal="center"/>
    </xf>
    <xf numFmtId="175" fontId="35" fillId="28" borderId="36" xfId="8" applyNumberFormat="1" applyFont="1" applyFill="1" applyBorder="1"/>
    <xf numFmtId="177" fontId="30" fillId="28" borderId="17" xfId="8" applyNumberFormat="1" applyFont="1" applyFill="1" applyBorder="1" applyAlignment="1">
      <alignment horizontal="center"/>
    </xf>
    <xf numFmtId="175" fontId="23" fillId="5" borderId="14" xfId="8" applyNumberFormat="1" applyFont="1" applyFill="1" applyBorder="1"/>
    <xf numFmtId="0" fontId="35" fillId="12" borderId="17" xfId="0" applyFont="1" applyFill="1" applyBorder="1"/>
    <xf numFmtId="0" fontId="49" fillId="12" borderId="37" xfId="0" applyFont="1" applyFill="1" applyBorder="1"/>
    <xf numFmtId="0" fontId="35" fillId="23" borderId="17" xfId="0" applyFont="1" applyFill="1" applyBorder="1"/>
    <xf numFmtId="0" fontId="46" fillId="16" borderId="19" xfId="0" applyFont="1" applyFill="1" applyBorder="1" applyAlignment="1">
      <alignment horizontal="center"/>
    </xf>
    <xf numFmtId="0" fontId="35" fillId="29" borderId="17" xfId="0" applyFont="1" applyFill="1" applyBorder="1"/>
    <xf numFmtId="0" fontId="35" fillId="23" borderId="21" xfId="0" applyFont="1" applyFill="1" applyBorder="1"/>
    <xf numFmtId="0" fontId="35" fillId="23" borderId="32" xfId="0" applyFont="1" applyFill="1" applyBorder="1"/>
    <xf numFmtId="0" fontId="35" fillId="29" borderId="21" xfId="0" applyFont="1" applyFill="1" applyBorder="1"/>
    <xf numFmtId="0" fontId="35" fillId="29" borderId="32" xfId="0" applyFont="1" applyFill="1" applyBorder="1"/>
    <xf numFmtId="0" fontId="35" fillId="29" borderId="42" xfId="0" applyFont="1" applyFill="1" applyBorder="1"/>
    <xf numFmtId="175" fontId="47" fillId="13" borderId="8" xfId="0" applyNumberFormat="1" applyFont="1" applyFill="1" applyBorder="1" applyAlignment="1">
      <alignment horizontal="left"/>
    </xf>
    <xf numFmtId="175" fontId="47" fillId="29" borderId="5" xfId="0" applyNumberFormat="1" applyFont="1" applyFill="1" applyBorder="1" applyAlignment="1">
      <alignment horizontal="left"/>
    </xf>
    <xf numFmtId="175" fontId="47" fillId="29" borderId="7" xfId="0" applyNumberFormat="1" applyFont="1" applyFill="1" applyBorder="1" applyAlignment="1">
      <alignment horizontal="left"/>
    </xf>
    <xf numFmtId="175" fontId="47" fillId="29" borderId="8" xfId="0" applyNumberFormat="1" applyFont="1" applyFill="1" applyBorder="1" applyAlignment="1">
      <alignment horizontal="left"/>
    </xf>
    <xf numFmtId="0" fontId="46" fillId="24" borderId="38" xfId="0" applyFont="1" applyFill="1" applyBorder="1" applyAlignment="1">
      <alignment horizontal="center"/>
    </xf>
    <xf numFmtId="175" fontId="46" fillId="24" borderId="24" xfId="0" applyNumberFormat="1" applyFont="1" applyFill="1" applyBorder="1" applyAlignment="1">
      <alignment horizontal="left"/>
    </xf>
    <xf numFmtId="175" fontId="46" fillId="19" borderId="20" xfId="0" applyNumberFormat="1" applyFont="1" applyFill="1" applyBorder="1" applyAlignment="1">
      <alignment horizontal="left"/>
    </xf>
    <xf numFmtId="0" fontId="46" fillId="19" borderId="19" xfId="0" applyFont="1" applyFill="1" applyBorder="1" applyAlignment="1">
      <alignment horizontal="center"/>
    </xf>
    <xf numFmtId="175" fontId="46" fillId="16" borderId="41" xfId="0" applyNumberFormat="1" applyFont="1" applyFill="1" applyBorder="1" applyAlignment="1">
      <alignment horizontal="left"/>
    </xf>
    <xf numFmtId="176" fontId="35" fillId="12" borderId="6" xfId="7" applyNumberFormat="1" applyFont="1" applyFill="1" applyBorder="1"/>
    <xf numFmtId="176" fontId="49" fillId="12" borderId="36" xfId="7" applyNumberFormat="1" applyFont="1" applyFill="1" applyBorder="1"/>
    <xf numFmtId="176" fontId="35" fillId="23" borderId="6" xfId="7" applyNumberFormat="1" applyFont="1" applyFill="1" applyBorder="1"/>
    <xf numFmtId="0" fontId="49" fillId="23" borderId="17" xfId="0" applyFont="1" applyFill="1" applyBorder="1"/>
    <xf numFmtId="178" fontId="35" fillId="29" borderId="6" xfId="7" applyNumberFormat="1" applyFont="1" applyFill="1" applyBorder="1"/>
    <xf numFmtId="0" fontId="35" fillId="29" borderId="37" xfId="0" applyFont="1" applyFill="1" applyBorder="1"/>
    <xf numFmtId="178" fontId="35" fillId="29" borderId="36" xfId="7" applyNumberFormat="1" applyFont="1" applyFill="1" applyBorder="1"/>
    <xf numFmtId="0" fontId="23" fillId="22" borderId="14" xfId="0" applyFont="1" applyFill="1" applyBorder="1" applyAlignment="1">
      <alignment horizontal="center"/>
    </xf>
    <xf numFmtId="171" fontId="35" fillId="22" borderId="10" xfId="7" applyNumberFormat="1" applyFont="1" applyFill="1" applyBorder="1"/>
    <xf numFmtId="2" fontId="50" fillId="28" borderId="17" xfId="8" applyNumberFormat="1" applyFont="1" applyFill="1" applyBorder="1" applyAlignment="1">
      <alignment horizontal="center"/>
    </xf>
    <xf numFmtId="2" fontId="50" fillId="28" borderId="37" xfId="8" applyNumberFormat="1" applyFont="1" applyFill="1" applyBorder="1" applyAlignment="1">
      <alignment horizontal="center"/>
    </xf>
    <xf numFmtId="16" fontId="35" fillId="30" borderId="18" xfId="0" applyNumberFormat="1" applyFont="1" applyFill="1" applyBorder="1" applyAlignment="1">
      <alignment horizontal="center"/>
    </xf>
    <xf numFmtId="0" fontId="35" fillId="30" borderId="18" xfId="0" applyFont="1" applyFill="1" applyBorder="1"/>
    <xf numFmtId="176" fontId="35" fillId="30" borderId="18" xfId="7" applyNumberFormat="1" applyFont="1" applyFill="1" applyBorder="1"/>
    <xf numFmtId="1" fontId="35" fillId="30" borderId="18" xfId="8" applyNumberFormat="1" applyFont="1" applyFill="1" applyBorder="1" applyAlignment="1">
      <alignment horizontal="center"/>
    </xf>
    <xf numFmtId="175" fontId="35" fillId="30" borderId="22" xfId="8" applyNumberFormat="1" applyFont="1" applyFill="1" applyBorder="1"/>
    <xf numFmtId="2" fontId="30" fillId="30" borderId="17" xfId="8" applyNumberFormat="1" applyFont="1" applyFill="1" applyBorder="1" applyAlignment="1">
      <alignment horizontal="center"/>
    </xf>
    <xf numFmtId="175" fontId="35" fillId="30" borderId="6" xfId="8" applyNumberFormat="1" applyFont="1" applyFill="1" applyBorder="1"/>
    <xf numFmtId="175" fontId="32" fillId="30" borderId="26" xfId="8" applyNumberFormat="1" applyFont="1" applyFill="1" applyBorder="1"/>
    <xf numFmtId="10" fontId="32" fillId="30" borderId="18" xfId="0" applyNumberFormat="1" applyFont="1" applyFill="1" applyBorder="1"/>
    <xf numFmtId="10" fontId="32" fillId="30" borderId="6" xfId="0" applyNumberFormat="1" applyFont="1" applyFill="1" applyBorder="1"/>
    <xf numFmtId="2" fontId="50" fillId="30" borderId="17" xfId="8" applyNumberFormat="1" applyFont="1" applyFill="1" applyBorder="1" applyAlignment="1">
      <alignment horizontal="center"/>
    </xf>
    <xf numFmtId="172" fontId="35" fillId="30" borderId="18" xfId="8" applyNumberFormat="1" applyFont="1" applyFill="1" applyBorder="1" applyAlignment="1">
      <alignment horizontal="center"/>
    </xf>
    <xf numFmtId="0" fontId="41" fillId="30" borderId="17" xfId="0" applyFont="1" applyFill="1" applyBorder="1" applyAlignment="1">
      <alignment horizontal="center"/>
    </xf>
    <xf numFmtId="0" fontId="49" fillId="30" borderId="37" xfId="0" applyFont="1" applyFill="1" applyBorder="1" applyAlignment="1">
      <alignment horizontal="center"/>
    </xf>
    <xf numFmtId="10" fontId="50" fillId="6" borderId="9" xfId="6" applyNumberFormat="1" applyFont="1" applyFill="1" applyBorder="1"/>
    <xf numFmtId="175" fontId="47" fillId="12" borderId="43" xfId="0" applyNumberFormat="1" applyFont="1" applyFill="1" applyBorder="1" applyAlignment="1">
      <alignment horizontal="left"/>
    </xf>
    <xf numFmtId="175" fontId="47" fillId="12" borderId="44" xfId="0" applyNumberFormat="1" applyFont="1" applyFill="1" applyBorder="1" applyAlignment="1">
      <alignment horizontal="left"/>
    </xf>
    <xf numFmtId="0" fontId="35" fillId="12" borderId="5" xfId="0" applyFont="1" applyFill="1" applyBorder="1"/>
    <xf numFmtId="0" fontId="35" fillId="12" borderId="7" xfId="0" applyFont="1" applyFill="1" applyBorder="1"/>
    <xf numFmtId="0" fontId="49" fillId="12" borderId="7" xfId="0" applyFont="1" applyFill="1" applyBorder="1"/>
    <xf numFmtId="0" fontId="35" fillId="12" borderId="8" xfId="0" applyFont="1" applyFill="1" applyBorder="1"/>
    <xf numFmtId="0" fontId="49" fillId="23" borderId="32" xfId="0" applyFont="1" applyFill="1" applyBorder="1"/>
    <xf numFmtId="0" fontId="35" fillId="23" borderId="42" xfId="0" applyFont="1" applyFill="1" applyBorder="1"/>
    <xf numFmtId="0" fontId="41" fillId="12" borderId="37" xfId="0" applyFont="1" applyFill="1" applyBorder="1" applyAlignment="1">
      <alignment horizontal="center"/>
    </xf>
    <xf numFmtId="16" fontId="35" fillId="12" borderId="35" xfId="0" applyNumberFormat="1" applyFont="1" applyFill="1" applyBorder="1" applyAlignment="1">
      <alignment horizontal="center"/>
    </xf>
    <xf numFmtId="0" fontId="35" fillId="12" borderId="35" xfId="0" applyFont="1" applyFill="1" applyBorder="1"/>
    <xf numFmtId="176" fontId="35" fillId="12" borderId="35" xfId="7" applyNumberFormat="1" applyFont="1" applyFill="1" applyBorder="1"/>
    <xf numFmtId="1" fontId="35" fillId="12" borderId="35" xfId="8" applyNumberFormat="1" applyFont="1" applyFill="1" applyBorder="1" applyAlignment="1">
      <alignment horizontal="center"/>
    </xf>
    <xf numFmtId="175" fontId="35" fillId="12" borderId="39" xfId="8" applyNumberFormat="1" applyFont="1" applyFill="1" applyBorder="1"/>
    <xf numFmtId="10" fontId="32" fillId="22" borderId="36" xfId="0" applyNumberFormat="1" applyFont="1" applyFill="1" applyBorder="1"/>
    <xf numFmtId="0" fontId="15" fillId="14" borderId="0" xfId="0" applyFont="1" applyFill="1" applyBorder="1" applyAlignment="1">
      <alignment horizontal="center"/>
    </xf>
    <xf numFmtId="0" fontId="10" fillId="25" borderId="0" xfId="1" applyFont="1" applyFill="1" applyBorder="1" applyAlignment="1">
      <alignment horizontal="center" vertical="center"/>
    </xf>
    <xf numFmtId="0" fontId="5" fillId="25" borderId="0" xfId="1" applyFill="1" applyBorder="1" applyAlignment="1">
      <alignment horizontal="center" vertical="center"/>
    </xf>
    <xf numFmtId="0" fontId="27" fillId="14" borderId="0" xfId="2" applyFont="1" applyFill="1" applyAlignment="1">
      <alignment horizontal="center" vertical="center"/>
    </xf>
    <xf numFmtId="168" fontId="13" fillId="14" borderId="0" xfId="0" applyNumberFormat="1" applyFont="1" applyFill="1" applyAlignment="1">
      <alignment horizontal="center"/>
    </xf>
    <xf numFmtId="0" fontId="20" fillId="14" borderId="0" xfId="0" applyFont="1" applyFill="1" applyAlignment="1">
      <alignment horizontal="left" vertical="top" wrapText="1"/>
    </xf>
    <xf numFmtId="0" fontId="20" fillId="14" borderId="12" xfId="0" applyFont="1" applyFill="1" applyBorder="1" applyAlignment="1">
      <alignment horizontal="left" vertical="top" wrapText="1"/>
    </xf>
    <xf numFmtId="0" fontId="26" fillId="14" borderId="0" xfId="0" applyFont="1" applyFill="1" applyAlignment="1">
      <alignment horizontal="center" vertical="center"/>
    </xf>
    <xf numFmtId="168" fontId="11" fillId="14" borderId="0" xfId="0" applyNumberFormat="1" applyFont="1" applyFill="1" applyBorder="1" applyAlignment="1">
      <alignment horizontal="left" vertical="top" wrapText="1"/>
    </xf>
    <xf numFmtId="0" fontId="17" fillId="14" borderId="1" xfId="3" applyFont="1" applyFill="1" applyAlignment="1"/>
    <xf numFmtId="175" fontId="51" fillId="14" borderId="0" xfId="4" applyNumberFormat="1" applyFont="1" applyFill="1" applyAlignment="1">
      <alignment vertical="top"/>
    </xf>
    <xf numFmtId="10" fontId="51" fillId="14" borderId="0" xfId="4" applyNumberFormat="1" applyFont="1" applyFill="1" applyAlignment="1">
      <alignment vertical="top"/>
    </xf>
    <xf numFmtId="0" fontId="17" fillId="14" borderId="1" xfId="3" applyFont="1" applyFill="1" applyAlignment="1">
      <alignment wrapText="1"/>
    </xf>
    <xf numFmtId="0" fontId="9" fillId="14" borderId="1" xfId="3" applyFont="1" applyFill="1" applyAlignment="1"/>
    <xf numFmtId="10" fontId="51" fillId="14" borderId="0" xfId="4" applyNumberFormat="1" applyFont="1" applyFill="1" applyBorder="1" applyAlignment="1">
      <alignment vertical="top"/>
    </xf>
    <xf numFmtId="2" fontId="52" fillId="28" borderId="37" xfId="8" applyNumberFormat="1" applyFont="1" applyFill="1" applyBorder="1" applyAlignment="1">
      <alignment horizontal="center"/>
    </xf>
  </cellXfs>
  <cellStyles count="9">
    <cellStyle name="Денежный" xfId="8" builtinId="4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Название" xfId="1" builtinId="15" customBuiltin="1"/>
    <cellStyle name="Обычный" xfId="0" builtinId="0" customBuiltin="1"/>
    <cellStyle name="Процентный" xfId="6" builtinId="5"/>
    <cellStyle name="Финансовый" xfId="7" builtinId="3"/>
  </cellStyles>
  <dxfs count="3"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Таблица личного бюджета" pivot="0" count="3" xr9:uid="{00000000-0011-0000-FFFF-FFFF00000000}">
      <tableStyleElement type="wholeTable" dxfId="2"/>
      <tableStyleElement type="headerRow" dxfId="1"/>
      <tableStyleElement type="totalRow" dxfId="0"/>
    </tableStyle>
  </tableStyles>
  <colors>
    <mruColors>
      <color rgb="FF17333F"/>
      <color rgb="FF11425A"/>
      <color rgb="FFF1D4C5"/>
      <color rgb="FF0B631B"/>
      <color rgb="FF5A0E0B"/>
      <color rgb="FFF3F1CE"/>
      <color rgb="FF5A2308"/>
      <color rgb="FFE3F5DF"/>
      <color rgb="FF60605E"/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Lbls>
            <c:delete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D8-0F49-ADFB-9653887652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3F1CE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0082311133092"/>
          <c:y val="0.14940360173324821"/>
          <c:w val="0.769509696824351"/>
          <c:h val="0.625457915092980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AB-3D4E-A195-B0A36E1AE528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AB-3D4E-A195-B0A36E1AE528}"/>
              </c:ext>
            </c:extLst>
          </c:dPt>
          <c:cat>
            <c:numRef>
              <c:f>'Срочный Рынок'!$V$20:$V$84</c:f>
              <c:numCache>
                <c:formatCode>d\-mmm</c:formatCode>
                <c:ptCount val="65"/>
                <c:pt idx="0">
                  <c:v>45919</c:v>
                </c:pt>
                <c:pt idx="1">
                  <c:v>45942</c:v>
                </c:pt>
              </c:numCache>
            </c:numRef>
          </c:cat>
          <c:val>
            <c:numRef>
              <c:f>'Срочный Рынок'!$W$20:$W$84</c:f>
              <c:numCache>
                <c:formatCode>_-* #\ ##0\ _₽_-;\-* #\ ##0\ _₽_-;_-* "-"??\ _₽_-;_-@_-</c:formatCode>
                <c:ptCount val="65"/>
                <c:pt idx="0">
                  <c:v>10000</c:v>
                </c:pt>
                <c:pt idx="1">
                  <c:v>10478.4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7-5A4D-A317-133B0856F6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'Срочный Рынок'!$V$20:$V$84</c:f>
              <c:numCache>
                <c:formatCode>d\-mmm</c:formatCode>
                <c:ptCount val="65"/>
                <c:pt idx="0">
                  <c:v>45919</c:v>
                </c:pt>
                <c:pt idx="1">
                  <c:v>45942</c:v>
                </c:pt>
              </c:numCache>
            </c:numRef>
          </c:cat>
          <c:val>
            <c:numRef>
              <c:f>'Срочный Рынок'!$X$20:$X$84</c:f>
              <c:numCache>
                <c:formatCode>0.00%</c:formatCode>
                <c:ptCount val="65"/>
                <c:pt idx="0">
                  <c:v>0</c:v>
                </c:pt>
                <c:pt idx="1">
                  <c:v>4.7839999999999883E-2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7-5A4D-A317-133B0856F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09536"/>
        <c:axId val="207411072"/>
      </c:lineChart>
      <c:dateAx>
        <c:axId val="207409536"/>
        <c:scaling>
          <c:orientation val="minMax"/>
          <c:max val="45904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11072"/>
        <c:crosses val="autoZero"/>
        <c:auto val="1"/>
        <c:lblOffset val="100"/>
        <c:baseTimeUnit val="days"/>
        <c:majorUnit val="2"/>
        <c:majorTimeUnit val="days"/>
      </c:dateAx>
      <c:valAx>
        <c:axId val="2074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89531642119938"/>
          <c:y val="0.95183453867047729"/>
          <c:w val="0.14098798911504634"/>
          <c:h val="4.81653492056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399551</xdr:colOff>
      <xdr:row>5</xdr:row>
      <xdr:rowOff>0</xdr:rowOff>
    </xdr:from>
    <xdr:to>
      <xdr:col>8</xdr:col>
      <xdr:colOff>559594</xdr:colOff>
      <xdr:row>14</xdr:row>
      <xdr:rowOff>451043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8BC85A4-9A53-A448-BDF8-4A03851DA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285748</xdr:colOff>
      <xdr:row>3</xdr:row>
      <xdr:rowOff>137583</xdr:rowOff>
    </xdr:from>
    <xdr:to>
      <xdr:col>11</xdr:col>
      <xdr:colOff>917222</xdr:colOff>
      <xdr:row>14</xdr:row>
      <xdr:rowOff>613833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3A8F9CF-F329-964F-AC63-ED8A16313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465666</xdr:colOff>
      <xdr:row>0</xdr:row>
      <xdr:rowOff>2566</xdr:rowOff>
    </xdr:from>
    <xdr:to>
      <xdr:col>12</xdr:col>
      <xdr:colOff>728311</xdr:colOff>
      <xdr:row>1</xdr:row>
      <xdr:rowOff>1259417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563783-AEE8-FA40-AB99-2DD5138F3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35083" y="2566"/>
          <a:ext cx="7237061" cy="1320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ersonal budget">
    <a:dk1>
      <a:sysClr val="windowText" lastClr="000000"/>
    </a:dk1>
    <a:lt1>
      <a:sysClr val="window" lastClr="FFFFFF"/>
    </a:lt1>
    <a:dk2>
      <a:srgbClr val="2A2A29"/>
    </a:dk2>
    <a:lt2>
      <a:srgbClr val="EEEEEB"/>
    </a:lt2>
    <a:accent1>
      <a:srgbClr val="0592FE"/>
    </a:accent1>
    <a:accent2>
      <a:srgbClr val="69BBFE"/>
    </a:accent2>
    <a:accent3>
      <a:srgbClr val="2EB470"/>
    </a:accent3>
    <a:accent4>
      <a:srgbClr val="F35754"/>
    </a:accent4>
    <a:accent5>
      <a:srgbClr val="B35297"/>
    </a:accent5>
    <a:accent6>
      <a:srgbClr val="FB911F"/>
    </a:accent6>
    <a:hlink>
      <a:srgbClr val="B35297"/>
    </a:hlink>
    <a:folHlink>
      <a:srgbClr val="0591FE"/>
    </a:folHlink>
  </a:clrScheme>
  <a:fontScheme name="Personal budget">
    <a:majorFont>
      <a:latin typeface="Tahoma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249977111117893"/>
    <pageSetUpPr fitToPage="1"/>
  </sheetPr>
  <dimension ref="A1:AV121"/>
  <sheetViews>
    <sheetView showGridLines="0" tabSelected="1" topLeftCell="A17" zoomScale="90" zoomScaleNormal="90" workbookViewId="0">
      <selection activeCell="L47" sqref="L47"/>
    </sheetView>
  </sheetViews>
  <sheetFormatPr defaultColWidth="9.140625" defaultRowHeight="27.75" customHeight="1"/>
  <cols>
    <col min="1" max="1" width="0.28515625" style="2" customWidth="1"/>
    <col min="2" max="2" width="6" style="2" customWidth="1"/>
    <col min="3" max="3" width="17.85546875" style="2" customWidth="1"/>
    <col min="4" max="4" width="21.85546875" style="2" customWidth="1"/>
    <col min="5" max="5" width="16.7109375" style="6" customWidth="1"/>
    <col min="6" max="6" width="18.42578125" style="6" customWidth="1"/>
    <col min="7" max="7" width="21.5703125" style="8" customWidth="1"/>
    <col min="8" max="8" width="16" style="8" customWidth="1"/>
    <col min="9" max="9" width="15" style="2" customWidth="1"/>
    <col min="10" max="10" width="14.7109375" style="2" customWidth="1"/>
    <col min="11" max="11" width="22" style="9" customWidth="1"/>
    <col min="12" max="12" width="15.140625" style="8" customWidth="1"/>
    <col min="13" max="13" width="12" style="2" customWidth="1"/>
    <col min="14" max="14" width="9.7109375" style="3" customWidth="1"/>
    <col min="15" max="15" width="11.42578125" style="9" customWidth="1"/>
    <col min="16" max="16" width="14" style="8" customWidth="1"/>
    <col min="17" max="17" width="12.140625" style="9" customWidth="1"/>
    <col min="18" max="18" width="13.7109375" style="8" customWidth="1"/>
    <col min="19" max="19" width="14" style="2" customWidth="1"/>
    <col min="20" max="20" width="14.140625" style="9" customWidth="1"/>
    <col min="21" max="21" width="9.28515625" style="8" customWidth="1"/>
    <col min="22" max="22" width="10.7109375" style="9" bestFit="1" customWidth="1"/>
    <col min="23" max="23" width="14.42578125" style="2" customWidth="1"/>
    <col min="24" max="24" width="10.5703125" style="2" customWidth="1"/>
    <col min="25" max="16384" width="9.140625" style="2"/>
  </cols>
  <sheetData>
    <row r="1" spans="1:48" s="51" customFormat="1" ht="5.25" customHeight="1">
      <c r="D1" s="54"/>
      <c r="E1" s="54"/>
      <c r="F1" s="54"/>
      <c r="G1" s="55"/>
      <c r="H1" s="55"/>
      <c r="I1" s="54"/>
      <c r="J1" s="54"/>
      <c r="K1" s="50"/>
      <c r="L1" s="55"/>
      <c r="O1" s="50"/>
      <c r="P1" s="55"/>
      <c r="Q1" s="50"/>
      <c r="R1" s="49"/>
      <c r="T1" s="50"/>
      <c r="U1" s="49"/>
      <c r="V1" s="50"/>
    </row>
    <row r="2" spans="1:48" s="4" customFormat="1" ht="102" customHeight="1">
      <c r="A2" s="7"/>
      <c r="B2" s="48"/>
      <c r="C2" s="48"/>
      <c r="D2" s="262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52"/>
      <c r="V2" s="53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</row>
    <row r="3" spans="1:48" s="1" customFormat="1" ht="33" customHeight="1">
      <c r="A3" s="12"/>
      <c r="B3" s="12"/>
      <c r="C3" s="57"/>
      <c r="D3" s="264" t="s">
        <v>7</v>
      </c>
      <c r="E3" s="264"/>
      <c r="F3" s="264"/>
      <c r="G3" s="264"/>
      <c r="H3" s="264"/>
      <c r="I3" s="264"/>
      <c r="J3" s="264"/>
      <c r="K3" s="13"/>
      <c r="L3" s="14"/>
      <c r="M3" s="12"/>
      <c r="N3" s="12"/>
      <c r="O3" s="15" t="s">
        <v>31</v>
      </c>
      <c r="P3" s="16"/>
      <c r="Q3" s="16"/>
      <c r="R3" s="16"/>
      <c r="S3" s="17"/>
      <c r="T3" s="265"/>
      <c r="U3" s="265"/>
      <c r="V3" s="265"/>
      <c r="W3" s="265"/>
      <c r="X3" s="265"/>
      <c r="Y3" s="18"/>
      <c r="Z3" s="19"/>
      <c r="AA3" s="10"/>
    </row>
    <row r="4" spans="1:48" s="1" customFormat="1" ht="18.75" customHeight="1">
      <c r="A4" s="12"/>
      <c r="B4" s="12"/>
      <c r="C4" s="57"/>
      <c r="D4" s="264"/>
      <c r="E4" s="264"/>
      <c r="F4" s="264"/>
      <c r="G4" s="264"/>
      <c r="H4" s="264"/>
      <c r="I4" s="264"/>
      <c r="J4" s="264"/>
      <c r="K4" s="12"/>
      <c r="L4" s="12"/>
      <c r="M4" s="12"/>
      <c r="N4" s="12"/>
      <c r="O4" s="12"/>
      <c r="P4" s="12"/>
      <c r="Q4" s="12"/>
      <c r="R4" s="12"/>
      <c r="S4" s="12"/>
      <c r="T4" s="18"/>
      <c r="U4" s="20"/>
      <c r="V4" s="18"/>
      <c r="W4" s="19"/>
      <c r="X4" s="12"/>
      <c r="Y4" s="18"/>
      <c r="Z4" s="19"/>
      <c r="AA4" s="10"/>
    </row>
    <row r="5" spans="1:48" s="1" customFormat="1" ht="3.75" customHeight="1">
      <c r="A5" s="12"/>
      <c r="B5" s="12"/>
      <c r="C5" s="57"/>
      <c r="D5" s="264"/>
      <c r="E5" s="264"/>
      <c r="F5" s="264"/>
      <c r="G5" s="264"/>
      <c r="H5" s="264"/>
      <c r="I5" s="264"/>
      <c r="J5" s="264"/>
      <c r="K5" s="12"/>
      <c r="L5" s="12"/>
      <c r="M5" s="12"/>
      <c r="N5" s="12"/>
      <c r="O5" s="266" t="s">
        <v>24</v>
      </c>
      <c r="P5" s="266"/>
      <c r="Q5" s="266"/>
      <c r="R5" s="266"/>
      <c r="S5" s="266"/>
      <c r="T5" s="18"/>
      <c r="U5" s="20"/>
      <c r="V5" s="18"/>
      <c r="W5" s="19"/>
      <c r="X5" s="12"/>
      <c r="Y5" s="18"/>
      <c r="Z5" s="19"/>
      <c r="AA5" s="10"/>
    </row>
    <row r="6" spans="1:48" s="1" customFormat="1" ht="46.5" customHeight="1">
      <c r="A6" s="12"/>
      <c r="B6" s="12"/>
      <c r="C6" s="57"/>
      <c r="D6" s="56"/>
      <c r="E6" s="56"/>
      <c r="F6" s="268"/>
      <c r="G6" s="268"/>
      <c r="H6" s="268"/>
      <c r="I6" s="268"/>
      <c r="J6" s="268"/>
      <c r="K6" s="12"/>
      <c r="L6" s="12"/>
      <c r="M6" s="12"/>
      <c r="N6" s="22"/>
      <c r="O6" s="266"/>
      <c r="P6" s="266"/>
      <c r="Q6" s="266"/>
      <c r="R6" s="266"/>
      <c r="S6" s="266"/>
      <c r="T6" s="269"/>
      <c r="U6" s="269"/>
      <c r="V6" s="269"/>
      <c r="W6" s="269"/>
      <c r="X6" s="269"/>
      <c r="Y6" s="269"/>
      <c r="Z6" s="269"/>
      <c r="AA6" s="10"/>
    </row>
    <row r="7" spans="1:48" s="1" customFormat="1" ht="18.75" customHeight="1">
      <c r="A7" s="12"/>
      <c r="B7" s="12"/>
      <c r="C7" s="270" t="s">
        <v>22</v>
      </c>
      <c r="D7" s="270"/>
      <c r="E7" s="56"/>
      <c r="F7" s="56"/>
      <c r="G7" s="58"/>
      <c r="H7" s="58"/>
      <c r="I7" s="56"/>
      <c r="J7" s="56"/>
      <c r="K7" s="12"/>
      <c r="L7" s="12"/>
      <c r="M7" s="12"/>
      <c r="N7" s="22"/>
      <c r="O7" s="266"/>
      <c r="P7" s="266"/>
      <c r="Q7" s="266"/>
      <c r="R7" s="266"/>
      <c r="S7" s="266"/>
      <c r="T7" s="269"/>
      <c r="U7" s="269"/>
      <c r="V7" s="269"/>
      <c r="W7" s="269"/>
      <c r="X7" s="269"/>
      <c r="Y7" s="269"/>
      <c r="Z7" s="269"/>
      <c r="AA7" s="10"/>
    </row>
    <row r="8" spans="1:48" s="1" customFormat="1" ht="3.75" customHeight="1">
      <c r="A8" s="12"/>
      <c r="B8" s="12"/>
      <c r="C8" s="42"/>
      <c r="D8" s="43"/>
      <c r="E8" s="56"/>
      <c r="F8" s="56"/>
      <c r="G8" s="58"/>
      <c r="H8" s="58"/>
      <c r="I8" s="56"/>
      <c r="J8" s="56"/>
      <c r="K8" s="12"/>
      <c r="L8" s="12"/>
      <c r="M8" s="12"/>
      <c r="N8" s="22"/>
      <c r="O8" s="266"/>
      <c r="P8" s="266"/>
      <c r="Q8" s="266"/>
      <c r="R8" s="266"/>
      <c r="S8" s="266"/>
      <c r="T8" s="269"/>
      <c r="U8" s="269"/>
      <c r="V8" s="269"/>
      <c r="W8" s="269"/>
      <c r="X8" s="269"/>
      <c r="Y8" s="269"/>
      <c r="Z8" s="269"/>
      <c r="AA8" s="10"/>
    </row>
    <row r="9" spans="1:48" s="1" customFormat="1" ht="33.75" customHeight="1">
      <c r="A9" s="12"/>
      <c r="B9" s="22">
        <v>3</v>
      </c>
      <c r="C9" s="271">
        <f>J38</f>
        <v>-484.22000000000014</v>
      </c>
      <c r="D9" s="271"/>
      <c r="E9" s="56"/>
      <c r="F9" s="56"/>
      <c r="G9" s="58"/>
      <c r="H9" s="58"/>
      <c r="I9" s="56"/>
      <c r="J9" s="56"/>
      <c r="K9" s="12"/>
      <c r="L9" s="12"/>
      <c r="M9" s="12"/>
      <c r="N9" s="12"/>
      <c r="O9" s="266"/>
      <c r="P9" s="266"/>
      <c r="Q9" s="266"/>
      <c r="R9" s="266"/>
      <c r="S9" s="266"/>
      <c r="T9" s="269"/>
      <c r="U9" s="269"/>
      <c r="V9" s="269"/>
      <c r="W9" s="269"/>
      <c r="X9" s="269"/>
      <c r="Y9" s="269"/>
      <c r="Z9" s="269"/>
      <c r="AA9" s="10"/>
    </row>
    <row r="10" spans="1:48" s="1" customFormat="1" ht="22.5" customHeight="1">
      <c r="A10" s="12"/>
      <c r="B10" s="22">
        <v>2</v>
      </c>
      <c r="C10" s="270" t="s">
        <v>23</v>
      </c>
      <c r="D10" s="270"/>
      <c r="E10" s="56"/>
      <c r="F10" s="56"/>
      <c r="G10" s="58"/>
      <c r="H10" s="58"/>
      <c r="I10" s="56"/>
      <c r="J10" s="56"/>
      <c r="K10" s="12"/>
      <c r="L10" s="12"/>
      <c r="M10" s="12"/>
      <c r="N10" s="12"/>
      <c r="O10" s="266"/>
      <c r="P10" s="266"/>
      <c r="Q10" s="266"/>
      <c r="R10" s="266"/>
      <c r="S10" s="266"/>
      <c r="T10" s="269"/>
      <c r="U10" s="269"/>
      <c r="V10" s="269"/>
      <c r="W10" s="269"/>
      <c r="X10" s="269"/>
      <c r="Y10" s="269"/>
      <c r="Z10" s="269"/>
      <c r="AA10" s="10"/>
    </row>
    <row r="11" spans="1:48" s="1" customFormat="1" ht="3.75" customHeight="1">
      <c r="A11" s="12"/>
      <c r="B11" s="22"/>
      <c r="C11" s="42"/>
      <c r="D11" s="43"/>
      <c r="E11" s="56"/>
      <c r="F11" s="56"/>
      <c r="G11" s="58"/>
      <c r="H11" s="58"/>
      <c r="I11" s="56"/>
      <c r="J11" s="56"/>
      <c r="K11" s="12"/>
      <c r="L11" s="12"/>
      <c r="M11" s="12"/>
      <c r="N11" s="12"/>
      <c r="O11" s="266"/>
      <c r="P11" s="266"/>
      <c r="Q11" s="266"/>
      <c r="R11" s="266"/>
      <c r="S11" s="266"/>
      <c r="T11" s="269"/>
      <c r="U11" s="269"/>
      <c r="V11" s="269"/>
      <c r="W11" s="269"/>
      <c r="X11" s="269"/>
      <c r="Y11" s="269"/>
      <c r="Z11" s="269"/>
      <c r="AA11" s="10"/>
    </row>
    <row r="12" spans="1:48" s="1" customFormat="1" ht="31.5" customHeight="1">
      <c r="A12" s="12"/>
      <c r="B12" s="22">
        <v>11</v>
      </c>
      <c r="C12" s="272">
        <f>L38</f>
        <v>-4.8422000000000014E-2</v>
      </c>
      <c r="D12" s="272"/>
      <c r="E12" s="56"/>
      <c r="F12" s="56"/>
      <c r="G12" s="58"/>
      <c r="H12" s="58"/>
      <c r="I12" s="56"/>
      <c r="J12" s="56"/>
      <c r="K12" s="12"/>
      <c r="L12" s="12"/>
      <c r="M12" s="12"/>
      <c r="N12" s="12"/>
      <c r="O12" s="266"/>
      <c r="P12" s="266"/>
      <c r="Q12" s="266"/>
      <c r="R12" s="266"/>
      <c r="S12" s="266"/>
      <c r="T12" s="269"/>
      <c r="U12" s="269"/>
      <c r="V12" s="269"/>
      <c r="W12" s="269"/>
      <c r="X12" s="269"/>
      <c r="Y12" s="269"/>
      <c r="Z12" s="269"/>
      <c r="AA12" s="10"/>
    </row>
    <row r="13" spans="1:48" s="1" customFormat="1" ht="18.75" customHeight="1">
      <c r="A13" s="12"/>
      <c r="B13" s="12"/>
      <c r="C13" s="273" t="s">
        <v>6</v>
      </c>
      <c r="D13" s="273"/>
      <c r="E13" s="56"/>
      <c r="F13" s="56"/>
      <c r="G13" s="58"/>
      <c r="H13" s="58"/>
      <c r="I13" s="56"/>
      <c r="J13" s="56"/>
      <c r="K13" s="274"/>
      <c r="L13" s="274"/>
      <c r="M13" s="12"/>
      <c r="N13" s="12"/>
      <c r="O13" s="266"/>
      <c r="P13" s="266"/>
      <c r="Q13" s="266"/>
      <c r="R13" s="266"/>
      <c r="S13" s="266"/>
      <c r="T13" s="269"/>
      <c r="U13" s="269"/>
      <c r="V13" s="269"/>
      <c r="W13" s="269"/>
      <c r="X13" s="269"/>
      <c r="Y13" s="269"/>
      <c r="Z13" s="269"/>
      <c r="AA13" s="10"/>
    </row>
    <row r="14" spans="1:48" s="1" customFormat="1" ht="3.75" customHeight="1">
      <c r="A14" s="12"/>
      <c r="B14" s="12"/>
      <c r="C14" s="42"/>
      <c r="D14" s="43"/>
      <c r="E14" s="56"/>
      <c r="F14" s="56"/>
      <c r="G14" s="58"/>
      <c r="H14" s="58"/>
      <c r="I14" s="56"/>
      <c r="J14" s="56"/>
      <c r="K14" s="23"/>
      <c r="L14" s="24"/>
      <c r="M14" s="12"/>
      <c r="N14" s="12"/>
      <c r="O14" s="266"/>
      <c r="P14" s="266"/>
      <c r="Q14" s="266"/>
      <c r="R14" s="266"/>
      <c r="S14" s="266"/>
      <c r="T14" s="269"/>
      <c r="U14" s="269"/>
      <c r="V14" s="269"/>
      <c r="W14" s="269"/>
      <c r="X14" s="269"/>
      <c r="Y14" s="269"/>
      <c r="Z14" s="269"/>
      <c r="AA14" s="10"/>
    </row>
    <row r="15" spans="1:48" s="1" customFormat="1" ht="57.95" customHeight="1" thickBot="1">
      <c r="A15" s="12"/>
      <c r="B15" s="12"/>
      <c r="C15" s="275">
        <f>L38</f>
        <v>-4.8422000000000014E-2</v>
      </c>
      <c r="D15" s="275"/>
      <c r="E15" s="56"/>
      <c r="F15" s="56"/>
      <c r="G15" s="58"/>
      <c r="H15" s="58"/>
      <c r="I15" s="56"/>
      <c r="J15" s="56"/>
      <c r="K15" s="12"/>
      <c r="L15" s="12"/>
      <c r="M15" s="12"/>
      <c r="N15" s="12"/>
      <c r="O15" s="267"/>
      <c r="P15" s="267"/>
      <c r="Q15" s="267"/>
      <c r="R15" s="267"/>
      <c r="S15" s="267"/>
      <c r="T15" s="269"/>
      <c r="U15" s="269"/>
      <c r="V15" s="269"/>
      <c r="W15" s="269"/>
      <c r="X15" s="269"/>
      <c r="Y15" s="269"/>
      <c r="Z15" s="269"/>
      <c r="AA15" s="10"/>
    </row>
    <row r="16" spans="1:48" s="1" customFormat="1" ht="23.25" customHeight="1" thickBot="1">
      <c r="A16" s="12"/>
      <c r="B16" s="12"/>
      <c r="C16" s="20"/>
      <c r="D16" s="40">
        <v>45797</v>
      </c>
      <c r="E16" s="38" t="s">
        <v>12</v>
      </c>
      <c r="F16" s="39"/>
      <c r="G16" s="147">
        <v>10000</v>
      </c>
      <c r="H16" s="20"/>
      <c r="I16" s="21"/>
      <c r="J16" s="21"/>
      <c r="K16" s="12"/>
      <c r="L16" s="12"/>
      <c r="M16" s="12"/>
      <c r="N16" s="37"/>
      <c r="O16" s="36"/>
      <c r="P16" s="31"/>
      <c r="Q16" s="36"/>
      <c r="R16" s="20"/>
      <c r="S16" s="21"/>
      <c r="T16" s="261"/>
      <c r="U16" s="261"/>
      <c r="V16" s="261"/>
      <c r="W16" s="25"/>
      <c r="X16" s="25"/>
      <c r="Y16" s="25"/>
      <c r="Z16" s="25"/>
      <c r="AA16" s="10"/>
    </row>
    <row r="17" spans="1:27" s="1" customFormat="1" ht="18.75" customHeight="1" thickBot="1">
      <c r="A17" s="26"/>
      <c r="B17" s="20"/>
      <c r="C17" s="20"/>
      <c r="D17" s="20"/>
      <c r="E17" s="20"/>
      <c r="F17" s="20"/>
      <c r="G17" s="20"/>
      <c r="H17" s="20"/>
      <c r="I17" s="21"/>
      <c r="J17" s="21"/>
      <c r="K17" s="12"/>
      <c r="L17" s="12"/>
      <c r="M17" s="12"/>
      <c r="N17" s="37"/>
      <c r="O17" s="30"/>
      <c r="P17" s="31"/>
      <c r="Q17" s="30"/>
      <c r="R17" s="31"/>
      <c r="S17" s="32"/>
      <c r="T17" s="25"/>
      <c r="U17" s="27"/>
      <c r="V17" s="28"/>
      <c r="W17" s="25"/>
      <c r="X17" s="25"/>
      <c r="Y17" s="25"/>
      <c r="Z17" s="25"/>
      <c r="AA17" s="10"/>
    </row>
    <row r="18" spans="1:27" ht="18.75" customHeight="1" thickBot="1">
      <c r="A18" s="20"/>
      <c r="B18" s="94"/>
      <c r="C18" s="95"/>
      <c r="D18" s="95" t="s">
        <v>17</v>
      </c>
      <c r="E18" s="95"/>
      <c r="F18" s="96"/>
      <c r="G18" s="96"/>
      <c r="H18" s="97" t="s">
        <v>27</v>
      </c>
      <c r="I18" s="136"/>
      <c r="J18" s="138"/>
      <c r="K18" s="98" t="s">
        <v>21</v>
      </c>
      <c r="L18" s="99"/>
      <c r="M18" s="59"/>
      <c r="N18" s="37"/>
      <c r="O18" s="41"/>
      <c r="P18" s="130">
        <v>760</v>
      </c>
      <c r="Q18" s="117"/>
      <c r="R18" s="72"/>
      <c r="S18" s="132">
        <f t="shared" ref="S18:S34" si="0">Q18*-R18</f>
        <v>0</v>
      </c>
      <c r="T18" s="44"/>
      <c r="U18" s="31"/>
      <c r="V18" s="60"/>
      <c r="W18" s="61" t="s">
        <v>8</v>
      </c>
      <c r="X18" s="62"/>
      <c r="Y18" s="25"/>
      <c r="Z18" s="25"/>
      <c r="AA18" s="11"/>
    </row>
    <row r="19" spans="1:27" ht="18" customHeight="1" thickBot="1">
      <c r="A19" s="33"/>
      <c r="B19" s="100" t="s">
        <v>3</v>
      </c>
      <c r="C19" s="100" t="s">
        <v>1</v>
      </c>
      <c r="D19" s="101" t="s">
        <v>2</v>
      </c>
      <c r="E19" s="101" t="s">
        <v>11</v>
      </c>
      <c r="F19" s="101" t="s">
        <v>5</v>
      </c>
      <c r="G19" s="101" t="s">
        <v>9</v>
      </c>
      <c r="H19" s="102" t="s">
        <v>4</v>
      </c>
      <c r="I19" s="137" t="s">
        <v>26</v>
      </c>
      <c r="J19" s="139" t="s">
        <v>18</v>
      </c>
      <c r="K19" s="103" t="s">
        <v>19</v>
      </c>
      <c r="L19" s="104" t="s">
        <v>20</v>
      </c>
      <c r="M19" s="59"/>
      <c r="N19" s="37"/>
      <c r="O19" s="41"/>
      <c r="P19" s="73">
        <v>820</v>
      </c>
      <c r="Q19" s="118"/>
      <c r="R19" s="74"/>
      <c r="S19" s="75">
        <f t="shared" si="0"/>
        <v>0</v>
      </c>
      <c r="T19" s="44"/>
      <c r="U19" s="31"/>
      <c r="V19" s="63" t="s">
        <v>1</v>
      </c>
      <c r="W19" s="64" t="s">
        <v>9</v>
      </c>
      <c r="X19" s="65" t="s">
        <v>10</v>
      </c>
      <c r="Y19" s="25"/>
      <c r="Z19" s="25"/>
      <c r="AA19" s="11"/>
    </row>
    <row r="20" spans="1:27" ht="18" customHeight="1" thickBot="1">
      <c r="A20" s="33"/>
      <c r="B20" s="148">
        <v>1</v>
      </c>
      <c r="C20" s="149">
        <v>45919</v>
      </c>
      <c r="D20" s="150" t="s">
        <v>32</v>
      </c>
      <c r="E20" s="171">
        <v>4</v>
      </c>
      <c r="F20" s="151">
        <f>(4*393.7)/E20</f>
        <v>393.7</v>
      </c>
      <c r="G20" s="189">
        <f t="shared" ref="G20" si="1">-E20*F20</f>
        <v>-1574.8</v>
      </c>
      <c r="H20" s="195">
        <v>19.670000000000002</v>
      </c>
      <c r="I20" s="196">
        <f t="shared" ref="I20" si="2">E20*H20</f>
        <v>78.680000000000007</v>
      </c>
      <c r="J20" s="193">
        <f t="shared" ref="J20" si="3">E20*(H20-F20)</f>
        <v>-1496.12</v>
      </c>
      <c r="K20" s="105">
        <f>-J20/G20</f>
        <v>-0.95003810007620015</v>
      </c>
      <c r="L20" s="145">
        <f>(J20)/10000</f>
        <v>-0.14961199999999999</v>
      </c>
      <c r="M20" s="59"/>
      <c r="N20" s="37"/>
      <c r="O20" s="41"/>
      <c r="P20" s="134">
        <v>830</v>
      </c>
      <c r="Q20" s="119"/>
      <c r="R20" s="76"/>
      <c r="S20" s="135">
        <f t="shared" si="0"/>
        <v>0</v>
      </c>
      <c r="T20" s="44"/>
      <c r="U20" s="31"/>
      <c r="V20" s="114">
        <v>45919</v>
      </c>
      <c r="W20" s="115">
        <v>10000</v>
      </c>
      <c r="X20" s="116">
        <f>(W20-10000)/10000</f>
        <v>0</v>
      </c>
      <c r="Y20" s="25"/>
      <c r="Z20" s="25"/>
      <c r="AA20" s="11"/>
    </row>
    <row r="21" spans="1:27" ht="18" customHeight="1" thickBot="1">
      <c r="A21" s="33"/>
      <c r="B21" s="148">
        <v>2</v>
      </c>
      <c r="C21" s="149">
        <v>45919</v>
      </c>
      <c r="D21" s="150" t="s">
        <v>33</v>
      </c>
      <c r="E21" s="171">
        <v>-4</v>
      </c>
      <c r="F21" s="151">
        <f>-(4*100.4)/E21</f>
        <v>100.4</v>
      </c>
      <c r="G21" s="189">
        <f t="shared" ref="G21" si="4">-E21*F21</f>
        <v>401.6</v>
      </c>
      <c r="H21" s="195">
        <v>1.1399999999999999</v>
      </c>
      <c r="I21" s="196">
        <f t="shared" ref="I21" si="5">E21*H21</f>
        <v>-4.5599999999999996</v>
      </c>
      <c r="J21" s="193">
        <f t="shared" ref="J21" si="6">E21*(H21-F21)</f>
        <v>397.04</v>
      </c>
      <c r="K21" s="105">
        <f>-J21/G21</f>
        <v>-0.98864541832669317</v>
      </c>
      <c r="L21" s="145">
        <f t="shared" ref="L21:L29" si="7">(J21)/10000</f>
        <v>3.9704000000000003E-2</v>
      </c>
      <c r="M21" s="59"/>
      <c r="N21" s="37"/>
      <c r="O21" s="129">
        <f>O22-Q22-Q18</f>
        <v>0</v>
      </c>
      <c r="P21" s="77">
        <v>750</v>
      </c>
      <c r="Q21" s="120"/>
      <c r="R21" s="78"/>
      <c r="S21" s="79">
        <f t="shared" si="0"/>
        <v>0</v>
      </c>
      <c r="T21" s="127">
        <f>-(P22-P21)*O21*100+T22</f>
        <v>0</v>
      </c>
      <c r="U21" s="31"/>
      <c r="V21" s="66">
        <v>45942</v>
      </c>
      <c r="W21" s="67">
        <f>10478.4</f>
        <v>10478.4</v>
      </c>
      <c r="X21" s="245">
        <f>W21/10000-1</f>
        <v>4.7839999999999883E-2</v>
      </c>
      <c r="Y21" s="25"/>
      <c r="Z21" s="25"/>
      <c r="AA21" s="11"/>
    </row>
    <row r="22" spans="1:27" ht="18.75" customHeight="1" thickBot="1">
      <c r="A22" s="33"/>
      <c r="B22" s="243">
        <v>3</v>
      </c>
      <c r="C22" s="231">
        <v>45919</v>
      </c>
      <c r="D22" s="232" t="s">
        <v>34</v>
      </c>
      <c r="E22" s="233">
        <v>-0.5</v>
      </c>
      <c r="F22" s="234">
        <f>-(0.5*4560.4)/E22</f>
        <v>4560.3999999999996</v>
      </c>
      <c r="G22" s="235">
        <f t="shared" ref="G22" si="8">-E22*F22</f>
        <v>2280.1999999999998</v>
      </c>
      <c r="H22" s="236">
        <v>3890</v>
      </c>
      <c r="I22" s="237">
        <f t="shared" ref="I22" si="9">E22*H22</f>
        <v>-1945</v>
      </c>
      <c r="J22" s="238">
        <f t="shared" ref="J22" si="10">E22*(H22-F22)</f>
        <v>335.19999999999982</v>
      </c>
      <c r="K22" s="239">
        <f>-J22/G22</f>
        <v>-0.14700464871502492</v>
      </c>
      <c r="L22" s="240">
        <f t="shared" si="7"/>
        <v>3.351999999999998E-2</v>
      </c>
      <c r="M22" s="21"/>
      <c r="N22" s="37"/>
      <c r="O22" s="123">
        <f t="shared" ref="O22:O30" si="11">O23-Q23</f>
        <v>0</v>
      </c>
      <c r="P22" s="81">
        <v>760</v>
      </c>
      <c r="Q22" s="121"/>
      <c r="R22" s="82"/>
      <c r="S22" s="79">
        <f t="shared" si="0"/>
        <v>0</v>
      </c>
      <c r="T22" s="80">
        <f>-(P23-P22)*O22*100+T23</f>
        <v>0</v>
      </c>
      <c r="U22" s="20"/>
      <c r="V22" s="68"/>
      <c r="W22" s="69"/>
      <c r="X22" s="70"/>
      <c r="Y22" s="21"/>
      <c r="Z22" s="25"/>
      <c r="AA22" s="11"/>
    </row>
    <row r="23" spans="1:27" ht="21.75" customHeight="1" thickBot="1">
      <c r="A23" s="33"/>
      <c r="B23" s="172">
        <v>4</v>
      </c>
      <c r="C23" s="173">
        <v>45919</v>
      </c>
      <c r="D23" s="174" t="s">
        <v>35</v>
      </c>
      <c r="E23" s="175">
        <v>1E-3</v>
      </c>
      <c r="F23" s="176">
        <v>0</v>
      </c>
      <c r="G23" s="190">
        <v>53.5</v>
      </c>
      <c r="H23" s="230">
        <v>0</v>
      </c>
      <c r="I23" s="198">
        <f>G23</f>
        <v>53.5</v>
      </c>
      <c r="J23" s="194">
        <f>I23</f>
        <v>53.5</v>
      </c>
      <c r="K23" s="146">
        <v>0</v>
      </c>
      <c r="L23" s="145">
        <f t="shared" si="7"/>
        <v>5.3499999999999997E-3</v>
      </c>
      <c r="M23" s="71"/>
      <c r="N23" s="37"/>
      <c r="O23" s="123">
        <f t="shared" si="11"/>
        <v>0</v>
      </c>
      <c r="P23" s="81">
        <v>770</v>
      </c>
      <c r="Q23" s="121"/>
      <c r="R23" s="82"/>
      <c r="S23" s="79">
        <f t="shared" si="0"/>
        <v>0</v>
      </c>
      <c r="T23" s="80">
        <f t="shared" ref="T23:T27" si="12">-(P24-P23)*O23*100+T24</f>
        <v>0</v>
      </c>
      <c r="U23" s="20"/>
      <c r="V23" s="36"/>
      <c r="W23" s="21"/>
      <c r="X23" s="21"/>
      <c r="Y23" s="21"/>
      <c r="Z23" s="25"/>
      <c r="AA23" s="11"/>
    </row>
    <row r="24" spans="1:27" ht="18.75" customHeight="1" thickBot="1">
      <c r="A24" s="33"/>
      <c r="B24" s="177">
        <v>5</v>
      </c>
      <c r="C24" s="178">
        <v>45919</v>
      </c>
      <c r="D24" s="179" t="s">
        <v>36</v>
      </c>
      <c r="E24" s="180">
        <v>10</v>
      </c>
      <c r="F24" s="182">
        <f>(10*27.36)/E24</f>
        <v>27.360000000000003</v>
      </c>
      <c r="G24" s="191">
        <f t="shared" ref="G24:G30" si="13">-E24*F24</f>
        <v>-273.60000000000002</v>
      </c>
      <c r="H24" s="199">
        <v>0.53400000000000003</v>
      </c>
      <c r="I24" s="196">
        <f t="shared" ref="I24:I30" si="14">E24*H24</f>
        <v>5.34</v>
      </c>
      <c r="J24" s="193">
        <f t="shared" ref="J24:J30" si="15">E24*(H24-F24)</f>
        <v>-268.26000000000005</v>
      </c>
      <c r="K24" s="105">
        <f>-J24/G24</f>
        <v>-0.98048245614035101</v>
      </c>
      <c r="L24" s="145">
        <f t="shared" si="7"/>
        <v>-2.6826000000000006E-2</v>
      </c>
      <c r="M24" s="21"/>
      <c r="N24" s="37"/>
      <c r="O24" s="124">
        <f t="shared" si="11"/>
        <v>0</v>
      </c>
      <c r="P24" s="131">
        <v>785</v>
      </c>
      <c r="Q24" s="121"/>
      <c r="R24" s="82"/>
      <c r="S24" s="133">
        <f t="shared" si="0"/>
        <v>0</v>
      </c>
      <c r="T24" s="80">
        <f t="shared" si="12"/>
        <v>0</v>
      </c>
      <c r="U24" s="20"/>
      <c r="V24" s="36"/>
      <c r="W24" s="21"/>
      <c r="X24" s="21"/>
      <c r="Y24" s="21"/>
      <c r="Z24" s="25"/>
      <c r="AA24" s="11"/>
    </row>
    <row r="25" spans="1:27" ht="18.75" customHeight="1" thickBot="1">
      <c r="A25" s="33"/>
      <c r="B25" s="244">
        <v>6</v>
      </c>
      <c r="C25" s="231">
        <v>45919</v>
      </c>
      <c r="D25" s="232" t="s">
        <v>37</v>
      </c>
      <c r="E25" s="233">
        <v>-5</v>
      </c>
      <c r="F25" s="242">
        <f>-(5*242.35)/E25</f>
        <v>242.35</v>
      </c>
      <c r="G25" s="235">
        <f t="shared" ref="G25" si="16">-E25*F25</f>
        <v>1211.75</v>
      </c>
      <c r="H25" s="236">
        <v>194</v>
      </c>
      <c r="I25" s="237">
        <f t="shared" si="14"/>
        <v>-970</v>
      </c>
      <c r="J25" s="238">
        <f t="shared" si="15"/>
        <v>241.74999999999997</v>
      </c>
      <c r="K25" s="239">
        <f>-J25/G25</f>
        <v>-0.19950484835981017</v>
      </c>
      <c r="L25" s="240">
        <f t="shared" si="7"/>
        <v>2.4174999999999999E-2</v>
      </c>
      <c r="M25" s="21"/>
      <c r="N25" s="37"/>
      <c r="O25" s="124">
        <f t="shared" si="11"/>
        <v>0</v>
      </c>
      <c r="P25" s="81">
        <v>800</v>
      </c>
      <c r="Q25" s="121"/>
      <c r="R25" s="82"/>
      <c r="S25" s="79">
        <f t="shared" si="0"/>
        <v>0</v>
      </c>
      <c r="T25" s="80">
        <f t="shared" si="12"/>
        <v>0</v>
      </c>
      <c r="U25" s="20"/>
      <c r="V25" s="36"/>
      <c r="W25" s="21"/>
      <c r="X25" s="21"/>
      <c r="Y25" s="21"/>
      <c r="Z25" s="25"/>
      <c r="AA25" s="11"/>
    </row>
    <row r="26" spans="1:27" ht="20.25" customHeight="1" thickBot="1">
      <c r="A26" s="33"/>
      <c r="B26" s="177">
        <v>7</v>
      </c>
      <c r="C26" s="178">
        <v>45919</v>
      </c>
      <c r="D26" s="183" t="s">
        <v>38</v>
      </c>
      <c r="E26" s="180">
        <f>0.0001</f>
        <v>1E-4</v>
      </c>
      <c r="F26" s="181">
        <v>0</v>
      </c>
      <c r="G26" s="191">
        <v>3</v>
      </c>
      <c r="H26" s="229">
        <v>0</v>
      </c>
      <c r="I26" s="196">
        <f>G26</f>
        <v>3</v>
      </c>
      <c r="J26" s="193">
        <f>I26</f>
        <v>3</v>
      </c>
      <c r="K26" s="105">
        <v>0</v>
      </c>
      <c r="L26" s="145">
        <f t="shared" si="7"/>
        <v>2.9999999999999997E-4</v>
      </c>
      <c r="M26" s="21"/>
      <c r="N26" s="37"/>
      <c r="O26" s="124">
        <f>O27-Q27-Q19</f>
        <v>0</v>
      </c>
      <c r="P26" s="81">
        <v>810</v>
      </c>
      <c r="Q26" s="121"/>
      <c r="R26" s="82"/>
      <c r="S26" s="79">
        <f t="shared" si="0"/>
        <v>0</v>
      </c>
      <c r="T26" s="80">
        <f t="shared" si="12"/>
        <v>0</v>
      </c>
      <c r="U26" s="20"/>
      <c r="V26" s="36"/>
      <c r="W26" s="21"/>
      <c r="X26" s="21"/>
      <c r="Y26" s="21"/>
      <c r="Z26" s="25"/>
      <c r="AA26" s="11"/>
    </row>
    <row r="27" spans="1:27" s="21" customFormat="1" ht="21.75" customHeight="1" thickBot="1">
      <c r="A27" s="33"/>
      <c r="B27" s="184">
        <v>8</v>
      </c>
      <c r="C27" s="185">
        <v>45919</v>
      </c>
      <c r="D27" s="186" t="s">
        <v>39</v>
      </c>
      <c r="E27" s="188">
        <v>0.01</v>
      </c>
      <c r="F27" s="187">
        <f>(0.01*4515)/E27</f>
        <v>4515</v>
      </c>
      <c r="G27" s="192">
        <f t="shared" si="13"/>
        <v>-45.15</v>
      </c>
      <c r="H27" s="195">
        <v>7386</v>
      </c>
      <c r="I27" s="196">
        <f t="shared" si="14"/>
        <v>73.86</v>
      </c>
      <c r="J27" s="193">
        <f t="shared" si="15"/>
        <v>28.71</v>
      </c>
      <c r="K27" s="105">
        <f t="shared" ref="K27:K34" si="17">-J27/G27</f>
        <v>0.63588039867109636</v>
      </c>
      <c r="L27" s="145">
        <f t="shared" si="7"/>
        <v>2.8710000000000003E-3</v>
      </c>
      <c r="N27" s="37"/>
      <c r="O27" s="124">
        <f>O28-Q28-Q20</f>
        <v>0</v>
      </c>
      <c r="P27" s="141">
        <v>815</v>
      </c>
      <c r="Q27" s="121"/>
      <c r="R27" s="82"/>
      <c r="S27" s="142">
        <f t="shared" si="0"/>
        <v>0</v>
      </c>
      <c r="T27" s="80">
        <f t="shared" si="12"/>
        <v>0</v>
      </c>
      <c r="U27" s="20"/>
      <c r="V27" s="36"/>
      <c r="Z27" s="25"/>
    </row>
    <row r="28" spans="1:27" s="21" customFormat="1" ht="20.25" customHeight="1" thickBot="1">
      <c r="A28" s="33"/>
      <c r="B28" s="184">
        <v>9</v>
      </c>
      <c r="C28" s="185">
        <v>45919</v>
      </c>
      <c r="D28" s="186" t="s">
        <v>40</v>
      </c>
      <c r="E28" s="188">
        <v>-0.02</v>
      </c>
      <c r="F28" s="187">
        <f>-(0.02*1865)/E28</f>
        <v>1865.0000000000002</v>
      </c>
      <c r="G28" s="192">
        <f t="shared" si="13"/>
        <v>37.300000000000004</v>
      </c>
      <c r="H28" s="195">
        <v>2368</v>
      </c>
      <c r="I28" s="196">
        <f t="shared" si="14"/>
        <v>-47.36</v>
      </c>
      <c r="J28" s="193">
        <f t="shared" si="15"/>
        <v>-10.059999999999995</v>
      </c>
      <c r="K28" s="105">
        <f t="shared" si="17"/>
        <v>0.26970509383378</v>
      </c>
      <c r="L28" s="145">
        <f t="shared" si="7"/>
        <v>-1.0059999999999995E-3</v>
      </c>
      <c r="N28" s="37"/>
      <c r="O28" s="124">
        <f t="shared" si="11"/>
        <v>0</v>
      </c>
      <c r="P28" s="84">
        <v>817</v>
      </c>
      <c r="Q28" s="121"/>
      <c r="R28" s="82"/>
      <c r="S28" s="125">
        <f t="shared" si="0"/>
        <v>0</v>
      </c>
      <c r="T28" s="126">
        <f>S36</f>
        <v>0</v>
      </c>
      <c r="U28" s="20"/>
      <c r="V28" s="36"/>
      <c r="Z28" s="25"/>
    </row>
    <row r="29" spans="1:27" s="21" customFormat="1" ht="21.75" customHeight="1" thickBot="1">
      <c r="A29" s="33"/>
      <c r="B29" s="184">
        <v>10</v>
      </c>
      <c r="C29" s="185">
        <v>45919</v>
      </c>
      <c r="D29" s="186" t="s">
        <v>41</v>
      </c>
      <c r="E29" s="188">
        <v>-0.01</v>
      </c>
      <c r="F29" s="187">
        <f>-(0.01*795)/E29</f>
        <v>795</v>
      </c>
      <c r="G29" s="192">
        <f t="shared" si="13"/>
        <v>7.95</v>
      </c>
      <c r="H29" s="197">
        <v>565</v>
      </c>
      <c r="I29" s="198">
        <f t="shared" si="14"/>
        <v>-5.65</v>
      </c>
      <c r="J29" s="193">
        <f t="shared" si="15"/>
        <v>2.3000000000000003</v>
      </c>
      <c r="K29" s="105">
        <f t="shared" si="17"/>
        <v>-0.28930817610062898</v>
      </c>
      <c r="L29" s="145">
        <f t="shared" si="7"/>
        <v>2.3000000000000003E-4</v>
      </c>
      <c r="O29" s="124">
        <f t="shared" si="11"/>
        <v>0</v>
      </c>
      <c r="P29" s="81">
        <v>820</v>
      </c>
      <c r="Q29" s="121"/>
      <c r="R29" s="82"/>
      <c r="S29" s="79">
        <f t="shared" si="0"/>
        <v>0</v>
      </c>
      <c r="T29" s="83">
        <f t="shared" ref="T29:T32" si="18">(P29-P28)*O28*100+T28</f>
        <v>0</v>
      </c>
      <c r="U29" s="20"/>
      <c r="V29" s="36"/>
      <c r="Z29" s="25"/>
    </row>
    <row r="30" spans="1:27" s="21" customFormat="1" ht="21.75" customHeight="1" thickBot="1">
      <c r="A30" s="33"/>
      <c r="B30" s="243">
        <v>11</v>
      </c>
      <c r="C30" s="231">
        <v>45941</v>
      </c>
      <c r="D30" s="232" t="s">
        <v>34</v>
      </c>
      <c r="E30" s="233">
        <v>0.5</v>
      </c>
      <c r="F30" s="234">
        <f>(0.3*3870+3860*0.1+3874*0.1)/E30</f>
        <v>3868.8</v>
      </c>
      <c r="G30" s="235">
        <f t="shared" si="13"/>
        <v>-1934.4</v>
      </c>
      <c r="H30" s="241">
        <f>H22</f>
        <v>3890</v>
      </c>
      <c r="I30" s="237">
        <f t="shared" si="14"/>
        <v>1945</v>
      </c>
      <c r="J30" s="238">
        <f t="shared" si="15"/>
        <v>10.599999999999909</v>
      </c>
      <c r="K30" s="239">
        <f t="shared" si="17"/>
        <v>5.4797353184449487E-3</v>
      </c>
      <c r="L30" s="240">
        <f t="shared" ref="L30" si="19">(J30)/10000</f>
        <v>1.0599999999999909E-3</v>
      </c>
      <c r="O30" s="124">
        <f t="shared" si="11"/>
        <v>0</v>
      </c>
      <c r="P30" s="81">
        <v>840</v>
      </c>
      <c r="Q30" s="121"/>
      <c r="R30" s="82"/>
      <c r="S30" s="79">
        <f t="shared" si="0"/>
        <v>0</v>
      </c>
      <c r="T30" s="83">
        <f t="shared" si="18"/>
        <v>0</v>
      </c>
      <c r="U30" s="20"/>
      <c r="V30" s="36"/>
      <c r="Z30" s="25"/>
    </row>
    <row r="31" spans="1:27" s="21" customFormat="1" ht="21" customHeight="1" thickBot="1">
      <c r="B31" s="148">
        <v>12</v>
      </c>
      <c r="C31" s="149">
        <v>43749</v>
      </c>
      <c r="D31" s="150" t="s">
        <v>44</v>
      </c>
      <c r="E31" s="171">
        <v>4</v>
      </c>
      <c r="F31" s="151">
        <f>(1*283+1*297+1*310.4+1*307)/E31</f>
        <v>299.35000000000002</v>
      </c>
      <c r="G31" s="189">
        <f>-E31*F31</f>
        <v>-1197.4000000000001</v>
      </c>
      <c r="H31" s="229">
        <v>222</v>
      </c>
      <c r="I31" s="196">
        <f>E31*H31</f>
        <v>888</v>
      </c>
      <c r="J31" s="193">
        <f>E31*(H31-F31)</f>
        <v>-309.40000000000009</v>
      </c>
      <c r="K31" s="105">
        <f t="shared" si="17"/>
        <v>-0.25839318523467519</v>
      </c>
      <c r="L31" s="145">
        <f>(J31)/10000</f>
        <v>-3.0940000000000009E-2</v>
      </c>
      <c r="O31" s="124">
        <f>O32-Q32</f>
        <v>0</v>
      </c>
      <c r="P31" s="81">
        <v>860</v>
      </c>
      <c r="Q31" s="121"/>
      <c r="R31" s="82"/>
      <c r="S31" s="79">
        <f t="shared" si="0"/>
        <v>0</v>
      </c>
      <c r="T31" s="83">
        <f t="shared" si="18"/>
        <v>0</v>
      </c>
      <c r="U31" s="20"/>
      <c r="V31" s="36"/>
      <c r="Z31" s="25"/>
    </row>
    <row r="32" spans="1:27" s="21" customFormat="1" ht="22.5" customHeight="1" thickBot="1">
      <c r="A32" s="29"/>
      <c r="B32" s="244">
        <v>13</v>
      </c>
      <c r="C32" s="231">
        <v>45941</v>
      </c>
      <c r="D32" s="232" t="s">
        <v>37</v>
      </c>
      <c r="E32" s="233">
        <v>5</v>
      </c>
      <c r="F32" s="242">
        <v>193.8</v>
      </c>
      <c r="G32" s="235">
        <f>-E32*F32</f>
        <v>-969</v>
      </c>
      <c r="H32" s="241">
        <f>H25</f>
        <v>194</v>
      </c>
      <c r="I32" s="237">
        <f>E32*H32</f>
        <v>970</v>
      </c>
      <c r="J32" s="238">
        <f>E32*(H32-F32)</f>
        <v>0.99999999999994316</v>
      </c>
      <c r="K32" s="239">
        <f t="shared" si="17"/>
        <v>1.0319917440659888E-3</v>
      </c>
      <c r="L32" s="240">
        <f>(J32)/10000</f>
        <v>9.9999999999994313E-5</v>
      </c>
      <c r="O32" s="123">
        <f>O33-Q33</f>
        <v>0</v>
      </c>
      <c r="P32" s="131">
        <v>870</v>
      </c>
      <c r="Q32" s="121"/>
      <c r="R32" s="82"/>
      <c r="S32" s="133">
        <f t="shared" si="0"/>
        <v>0</v>
      </c>
      <c r="T32" s="83">
        <f t="shared" si="18"/>
        <v>0</v>
      </c>
      <c r="U32" s="20"/>
      <c r="V32" s="36"/>
      <c r="Z32" s="25"/>
    </row>
    <row r="33" spans="1:26" s="21" customFormat="1" ht="20.25" customHeight="1" thickBot="1">
      <c r="B33" s="177">
        <v>14</v>
      </c>
      <c r="C33" s="178">
        <v>45941</v>
      </c>
      <c r="D33" s="179" t="s">
        <v>45</v>
      </c>
      <c r="E33" s="180">
        <v>5</v>
      </c>
      <c r="F33" s="182">
        <f>(1*10.5+1*10+9.5*1+9*1+8*1)/E33</f>
        <v>9.4</v>
      </c>
      <c r="G33" s="191">
        <f t="shared" ref="G33:G34" si="20">-E33*F33</f>
        <v>-47</v>
      </c>
      <c r="H33" s="199">
        <v>5.94</v>
      </c>
      <c r="I33" s="196">
        <f t="shared" ref="I33:I34" si="21">E33*H33</f>
        <v>29.700000000000003</v>
      </c>
      <c r="J33" s="193">
        <f t="shared" ref="J33:J34" si="22">E33*(H33-F33)</f>
        <v>-17.3</v>
      </c>
      <c r="K33" s="105">
        <f t="shared" si="17"/>
        <v>-0.36808510638297876</v>
      </c>
      <c r="L33" s="145">
        <f t="shared" ref="L33:L34" si="23">(J33)/10000</f>
        <v>-1.73E-3</v>
      </c>
      <c r="O33" s="123">
        <f>O34-Q34</f>
        <v>0</v>
      </c>
      <c r="P33" s="131">
        <v>890</v>
      </c>
      <c r="Q33" s="121"/>
      <c r="R33" s="82"/>
      <c r="S33" s="133">
        <f t="shared" si="0"/>
        <v>0</v>
      </c>
      <c r="T33" s="83">
        <f>(P33-P32)*O32*100+T32</f>
        <v>0</v>
      </c>
      <c r="U33" s="20"/>
      <c r="V33" s="36"/>
      <c r="Z33" s="25"/>
    </row>
    <row r="34" spans="1:26" s="21" customFormat="1" ht="20.25" customHeight="1" thickBot="1">
      <c r="A34" s="29"/>
      <c r="B34" s="254">
        <v>15</v>
      </c>
      <c r="C34" s="255">
        <v>45942</v>
      </c>
      <c r="D34" s="256" t="s">
        <v>44</v>
      </c>
      <c r="E34" s="257">
        <v>-2</v>
      </c>
      <c r="F34" s="258">
        <f>-(1*470+1*474)/E34</f>
        <v>472</v>
      </c>
      <c r="G34" s="259">
        <f t="shared" si="20"/>
        <v>944</v>
      </c>
      <c r="H34" s="197">
        <f>H31</f>
        <v>222</v>
      </c>
      <c r="I34" s="198">
        <f t="shared" si="21"/>
        <v>-444</v>
      </c>
      <c r="J34" s="194">
        <f t="shared" si="22"/>
        <v>500</v>
      </c>
      <c r="K34" s="146">
        <f t="shared" si="17"/>
        <v>-0.52966101694915257</v>
      </c>
      <c r="L34" s="260">
        <f t="shared" si="23"/>
        <v>0.05</v>
      </c>
      <c r="O34" s="128">
        <f>SUM(Q21:Q35)+Q36</f>
        <v>0</v>
      </c>
      <c r="P34" s="86">
        <v>900</v>
      </c>
      <c r="Q34" s="122"/>
      <c r="R34" s="87"/>
      <c r="S34" s="79">
        <f t="shared" si="0"/>
        <v>0</v>
      </c>
      <c r="T34" s="85">
        <f>(P34-P33)*O33*100+T33</f>
        <v>0</v>
      </c>
      <c r="U34" s="20"/>
      <c r="V34" s="36"/>
    </row>
    <row r="35" spans="1:26" s="21" customFormat="1" ht="20.25" customHeight="1" thickBot="1">
      <c r="B35" s="254">
        <v>16</v>
      </c>
      <c r="C35" s="255">
        <v>45947</v>
      </c>
      <c r="D35" s="256" t="s">
        <v>44</v>
      </c>
      <c r="E35" s="257">
        <v>-2</v>
      </c>
      <c r="F35" s="258">
        <f>-(1*225+1*223)/E35</f>
        <v>224</v>
      </c>
      <c r="G35" s="259">
        <f t="shared" ref="G35" si="24">-E35*F35</f>
        <v>448</v>
      </c>
      <c r="H35" s="197">
        <f>H34</f>
        <v>222</v>
      </c>
      <c r="I35" s="198">
        <f t="shared" ref="I35" si="25">E35*H35</f>
        <v>-444</v>
      </c>
      <c r="J35" s="194">
        <f t="shared" ref="J35" si="26">E35*(H35-F35)</f>
        <v>4</v>
      </c>
      <c r="K35" s="146">
        <f t="shared" ref="K35" si="27">-J35/G35</f>
        <v>-8.9285714285714281E-3</v>
      </c>
      <c r="L35" s="260">
        <f t="shared" ref="L35" si="28">(J35)/10000</f>
        <v>4.0000000000000002E-4</v>
      </c>
      <c r="O35" s="89" t="s">
        <v>25</v>
      </c>
      <c r="P35" s="90"/>
      <c r="Q35" s="91"/>
      <c r="R35" s="91"/>
      <c r="S35" s="92"/>
      <c r="T35" s="88"/>
      <c r="U35" s="31"/>
      <c r="V35" s="36"/>
    </row>
    <row r="36" spans="1:26" s="21" customFormat="1" ht="21" customHeight="1" thickBot="1">
      <c r="A36" s="29"/>
      <c r="B36" s="254">
        <v>17</v>
      </c>
      <c r="C36" s="255">
        <v>45947</v>
      </c>
      <c r="D36" s="256" t="s">
        <v>47</v>
      </c>
      <c r="E36" s="257">
        <v>3</v>
      </c>
      <c r="F36" s="258">
        <f>(1*382+1*381+1*381.5)/E36</f>
        <v>381.5</v>
      </c>
      <c r="G36" s="259">
        <f t="shared" ref="G36" si="29">-E36*F36</f>
        <v>-1144.5</v>
      </c>
      <c r="H36" s="276">
        <v>399.04</v>
      </c>
      <c r="I36" s="198">
        <f t="shared" ref="I36" si="30">E36*H36</f>
        <v>1197.1200000000001</v>
      </c>
      <c r="J36" s="194">
        <f t="shared" ref="J36" si="31">E36*(H36-F36)</f>
        <v>52.620000000000061</v>
      </c>
      <c r="K36" s="146">
        <f t="shared" ref="K36" si="32">-J36/G36</f>
        <v>4.5976408912188779E-2</v>
      </c>
      <c r="L36" s="260">
        <f t="shared" ref="L36" si="33">(J36)/10000</f>
        <v>5.2620000000000063E-3</v>
      </c>
      <c r="O36" s="71"/>
      <c r="P36" s="71"/>
      <c r="Q36" s="93">
        <f>SUM(Q37:Q45)</f>
        <v>0</v>
      </c>
      <c r="R36" s="167">
        <f>0</f>
        <v>0</v>
      </c>
      <c r="S36" s="168">
        <f>SUM(S18:S35)</f>
        <v>0</v>
      </c>
      <c r="T36" s="44"/>
      <c r="U36" s="31"/>
      <c r="V36" s="36"/>
    </row>
    <row r="37" spans="1:26" s="21" customFormat="1" ht="23.25" customHeight="1" thickBot="1">
      <c r="A37" s="33"/>
      <c r="I37" s="143" t="s">
        <v>28</v>
      </c>
      <c r="J37" s="144">
        <v>-12.8</v>
      </c>
      <c r="K37" s="152"/>
      <c r="L37" s="152"/>
      <c r="O37" s="71"/>
      <c r="P37" s="227" t="s">
        <v>30</v>
      </c>
      <c r="Q37" s="228">
        <v>0</v>
      </c>
      <c r="R37" s="169"/>
      <c r="S37" s="170">
        <v>0</v>
      </c>
      <c r="T37" s="44"/>
      <c r="U37" s="31"/>
      <c r="V37" s="36"/>
    </row>
    <row r="38" spans="1:26" s="21" customFormat="1" ht="18.75" customHeight="1" thickBot="1">
      <c r="B38" s="41"/>
      <c r="C38" s="41"/>
      <c r="D38" s="41"/>
      <c r="E38" s="41"/>
      <c r="H38" s="41"/>
      <c r="I38" s="153">
        <f>SUM(I20:I37)</f>
        <v>1383.63</v>
      </c>
      <c r="J38" s="154">
        <f>SUM(J20:J37)</f>
        <v>-484.22000000000014</v>
      </c>
      <c r="K38" s="108">
        <f>SUM(K20:K37)</f>
        <v>-3.7619778992345099</v>
      </c>
      <c r="L38" s="140">
        <f>J38/10000</f>
        <v>-4.8422000000000014E-2</v>
      </c>
      <c r="T38" s="44"/>
      <c r="U38" s="31"/>
      <c r="V38" s="36"/>
    </row>
    <row r="39" spans="1:26" s="21" customFormat="1" ht="18.75" customHeight="1" thickBot="1">
      <c r="A39" s="33"/>
      <c r="B39" s="41"/>
      <c r="G39" s="41"/>
      <c r="I39" s="155"/>
      <c r="J39" s="155"/>
      <c r="T39" s="44"/>
      <c r="U39" s="31"/>
      <c r="V39" s="36"/>
    </row>
    <row r="40" spans="1:26" s="21" customFormat="1" ht="19.5" customHeight="1" thickBot="1">
      <c r="B40" s="41"/>
      <c r="C40" s="106" t="s">
        <v>13</v>
      </c>
      <c r="D40" s="107">
        <f>E40/G16</f>
        <v>0.17857500000000001</v>
      </c>
      <c r="E40" s="157">
        <f>-SUM(G20:G37)+J37</f>
        <v>1785.7500000000002</v>
      </c>
      <c r="F40" s="41"/>
      <c r="I40" s="155"/>
      <c r="J40" s="200">
        <f>L57</f>
        <v>-484.22000000000037</v>
      </c>
      <c r="K40" s="248" t="s">
        <v>32</v>
      </c>
      <c r="L40" s="246">
        <f>J20</f>
        <v>-1496.12</v>
      </c>
      <c r="T40" s="44"/>
      <c r="U40" s="31"/>
      <c r="V40" s="36"/>
    </row>
    <row r="41" spans="1:26" s="21" customFormat="1" ht="18" thickBot="1">
      <c r="A41" s="34"/>
      <c r="B41" s="41"/>
      <c r="C41" s="109" t="s">
        <v>14</v>
      </c>
      <c r="D41" s="110">
        <f>E41/G16</f>
        <v>0.77300300000000011</v>
      </c>
      <c r="E41" s="158">
        <f>E42-E40</f>
        <v>7730.0300000000007</v>
      </c>
      <c r="F41" s="41"/>
      <c r="G41" s="201" t="s">
        <v>32</v>
      </c>
      <c r="H41" s="220">
        <v>4</v>
      </c>
      <c r="I41" s="155"/>
      <c r="J41" s="155"/>
      <c r="K41" s="249" t="s">
        <v>33</v>
      </c>
      <c r="L41" s="247">
        <f>J21</f>
        <v>397.04</v>
      </c>
      <c r="T41" s="44"/>
      <c r="U41" s="31"/>
      <c r="V41" s="36"/>
    </row>
    <row r="42" spans="1:26" s="21" customFormat="1" ht="18" customHeight="1" thickBot="1">
      <c r="B42" s="41"/>
      <c r="C42" s="111" t="s">
        <v>15</v>
      </c>
      <c r="D42" s="112">
        <f>D40+D41</f>
        <v>0.95157800000000015</v>
      </c>
      <c r="E42" s="159">
        <f>G16+J38</f>
        <v>9515.7800000000007</v>
      </c>
      <c r="F42" s="41"/>
      <c r="G42" s="201" t="s">
        <v>33</v>
      </c>
      <c r="H42" s="220">
        <v>-4</v>
      </c>
      <c r="I42" s="155"/>
      <c r="J42" s="155"/>
      <c r="K42" s="249" t="s">
        <v>34</v>
      </c>
      <c r="L42" s="247">
        <f>J22+J30</f>
        <v>345.79999999999973</v>
      </c>
      <c r="T42" s="44"/>
      <c r="U42" s="31"/>
      <c r="V42" s="36"/>
    </row>
    <row r="43" spans="1:26" s="21" customFormat="1" ht="19.5" customHeight="1" thickBot="1">
      <c r="B43" s="41"/>
      <c r="C43" s="41"/>
      <c r="D43" s="41"/>
      <c r="E43" s="41"/>
      <c r="F43" s="41"/>
      <c r="G43" s="201" t="s">
        <v>47</v>
      </c>
      <c r="H43" s="220">
        <v>3</v>
      </c>
      <c r="I43" s="155"/>
      <c r="J43" s="155"/>
      <c r="K43" s="250" t="s">
        <v>35</v>
      </c>
      <c r="L43" s="247">
        <f>J23</f>
        <v>53.5</v>
      </c>
      <c r="T43" s="44"/>
      <c r="U43" s="31"/>
      <c r="V43" s="36"/>
    </row>
    <row r="44" spans="1:26" s="21" customFormat="1" ht="18.75" customHeight="1" thickBot="1">
      <c r="B44" s="41"/>
      <c r="F44" s="41"/>
      <c r="G44" s="203" t="s">
        <v>36</v>
      </c>
      <c r="H44" s="222">
        <v>10</v>
      </c>
      <c r="I44" s="156"/>
      <c r="J44" s="155"/>
      <c r="K44" s="251" t="s">
        <v>44</v>
      </c>
      <c r="L44" s="247">
        <f>J31+J34+J35</f>
        <v>194.59999999999991</v>
      </c>
      <c r="T44" s="44"/>
      <c r="U44" s="31"/>
      <c r="V44" s="36"/>
    </row>
    <row r="45" spans="1:26" s="21" customFormat="1" ht="18" customHeight="1" thickBot="1">
      <c r="B45" s="41"/>
      <c r="F45" s="41"/>
      <c r="G45" s="203" t="s">
        <v>45</v>
      </c>
      <c r="H45" s="222">
        <v>5</v>
      </c>
      <c r="I45" s="156"/>
      <c r="J45" s="155"/>
      <c r="K45" s="251" t="s">
        <v>47</v>
      </c>
      <c r="L45" s="247">
        <f>J36</f>
        <v>52.620000000000061</v>
      </c>
      <c r="T45" s="44"/>
      <c r="U45" s="31"/>
      <c r="V45" s="36"/>
    </row>
    <row r="46" spans="1:26" s="21" customFormat="1" ht="18.75" customHeight="1" thickBot="1">
      <c r="B46" s="34"/>
      <c r="C46" s="113" t="s">
        <v>29</v>
      </c>
      <c r="D46" s="41"/>
      <c r="E46" s="41"/>
      <c r="G46" s="205" t="s">
        <v>39</v>
      </c>
      <c r="H46" s="224">
        <v>0.01</v>
      </c>
      <c r="I46" s="155"/>
      <c r="J46" s="155"/>
      <c r="K46" s="218" t="s">
        <v>30</v>
      </c>
      <c r="L46" s="217">
        <f>SUM(L40:L45)</f>
        <v>-452.56000000000023</v>
      </c>
      <c r="R46" s="44"/>
      <c r="U46" s="31"/>
      <c r="V46" s="36"/>
    </row>
    <row r="47" spans="1:26" s="21" customFormat="1" ht="19.5" customHeight="1" thickBot="1">
      <c r="C47" s="45" t="s">
        <v>46</v>
      </c>
      <c r="D47" s="46" t="s">
        <v>21</v>
      </c>
      <c r="E47" s="47" t="s">
        <v>16</v>
      </c>
      <c r="G47" s="205" t="s">
        <v>40</v>
      </c>
      <c r="H47" s="224">
        <v>-0.02</v>
      </c>
      <c r="K47" s="206" t="s">
        <v>36</v>
      </c>
      <c r="L47" s="163">
        <f>J24</f>
        <v>-268.26000000000005</v>
      </c>
      <c r="T47" s="36"/>
      <c r="U47" s="31"/>
      <c r="V47" s="36"/>
    </row>
    <row r="48" spans="1:26" s="21" customFormat="1" ht="18" customHeight="1" thickBot="1">
      <c r="C48" s="160">
        <v>10000</v>
      </c>
      <c r="D48" s="161">
        <f>J38</f>
        <v>-484.22000000000014</v>
      </c>
      <c r="E48" s="162">
        <f>C48+D48</f>
        <v>9515.7800000000007</v>
      </c>
      <c r="G48" s="225" t="s">
        <v>41</v>
      </c>
      <c r="H48" s="226">
        <v>-0.01</v>
      </c>
      <c r="K48" s="207" t="s">
        <v>37</v>
      </c>
      <c r="L48" s="164">
        <f>J25+J32</f>
        <v>242.74999999999991</v>
      </c>
      <c r="O48" s="36"/>
      <c r="P48" s="20"/>
      <c r="Q48" s="36"/>
      <c r="R48" s="20"/>
      <c r="U48" s="31"/>
      <c r="V48" s="36"/>
    </row>
    <row r="49" spans="7:22" s="21" customFormat="1" ht="18.75" customHeight="1">
      <c r="K49" s="252" t="s">
        <v>38</v>
      </c>
      <c r="L49" s="164">
        <f>J26</f>
        <v>3</v>
      </c>
      <c r="U49" s="31"/>
      <c r="V49" s="36"/>
    </row>
    <row r="50" spans="7:22" s="21" customFormat="1" ht="18.75" customHeight="1" thickBot="1">
      <c r="K50" s="253" t="s">
        <v>45</v>
      </c>
      <c r="L50" s="211">
        <f>J33</f>
        <v>-17.3</v>
      </c>
      <c r="U50" s="31"/>
      <c r="V50" s="36"/>
    </row>
    <row r="51" spans="7:22" s="21" customFormat="1" ht="20.25" customHeight="1" thickBot="1">
      <c r="K51" s="204" t="s">
        <v>42</v>
      </c>
      <c r="L51" s="219">
        <f>SUM(L47:L50)</f>
        <v>-39.81000000000013</v>
      </c>
      <c r="U51" s="31"/>
      <c r="V51" s="36"/>
    </row>
    <row r="52" spans="7:22" s="21" customFormat="1" ht="21.75" customHeight="1" thickBot="1">
      <c r="K52" s="208" t="s">
        <v>39</v>
      </c>
      <c r="L52" s="212">
        <f>J27</f>
        <v>28.71</v>
      </c>
      <c r="U52" s="31"/>
      <c r="V52" s="36"/>
    </row>
    <row r="53" spans="7:22" s="21" customFormat="1" ht="20.25" customHeight="1" thickBot="1">
      <c r="G53" s="203" t="s">
        <v>37</v>
      </c>
      <c r="H53" s="222">
        <f>-5+E32</f>
        <v>0</v>
      </c>
      <c r="K53" s="209" t="s">
        <v>40</v>
      </c>
      <c r="L53" s="213">
        <f>J28</f>
        <v>-10.059999999999995</v>
      </c>
      <c r="U53" s="31"/>
      <c r="V53" s="36"/>
    </row>
    <row r="54" spans="7:22" s="21" customFormat="1" ht="21" customHeight="1" thickBot="1">
      <c r="G54" s="201" t="s">
        <v>34</v>
      </c>
      <c r="H54" s="220">
        <f>-0.5+E30</f>
        <v>0</v>
      </c>
      <c r="K54" s="210" t="s">
        <v>41</v>
      </c>
      <c r="L54" s="214">
        <f>J29</f>
        <v>2.3000000000000003</v>
      </c>
      <c r="U54" s="31"/>
      <c r="V54" s="36"/>
    </row>
    <row r="55" spans="7:22" s="21" customFormat="1" ht="20.25" customHeight="1" thickBot="1">
      <c r="G55" s="202" t="s">
        <v>35</v>
      </c>
      <c r="H55" s="221">
        <v>1E-3</v>
      </c>
      <c r="K55" s="215" t="s">
        <v>43</v>
      </c>
      <c r="L55" s="216">
        <f>SUM(L52:L54)</f>
        <v>20.950000000000006</v>
      </c>
      <c r="U55" s="20"/>
      <c r="V55" s="36"/>
    </row>
    <row r="56" spans="7:22" s="21" customFormat="1" ht="21" customHeight="1" thickBot="1">
      <c r="G56" s="223" t="s">
        <v>38</v>
      </c>
      <c r="H56" s="222">
        <f>0.0001</f>
        <v>1E-4</v>
      </c>
      <c r="K56" s="143" t="s">
        <v>28</v>
      </c>
      <c r="L56" s="165">
        <f>J37</f>
        <v>-12.8</v>
      </c>
      <c r="U56" s="20"/>
      <c r="V56" s="36"/>
    </row>
    <row r="57" spans="7:22" s="21" customFormat="1" ht="21.75" customHeight="1" thickBot="1">
      <c r="L57" s="166">
        <f>L46+L51+L55+L56</f>
        <v>-484.22000000000037</v>
      </c>
      <c r="U57" s="20"/>
      <c r="V57" s="36"/>
    </row>
    <row r="58" spans="7:22" s="21" customFormat="1" ht="20.25" customHeight="1">
      <c r="U58" s="20"/>
      <c r="V58" s="36"/>
    </row>
    <row r="59" spans="7:22" s="21" customFormat="1" ht="22.5" customHeight="1">
      <c r="U59" s="20"/>
      <c r="V59" s="36"/>
    </row>
    <row r="60" spans="7:22" s="21" customFormat="1" ht="22.5" customHeight="1">
      <c r="U60" s="20"/>
      <c r="V60" s="36"/>
    </row>
    <row r="61" spans="7:22" s="21" customFormat="1" ht="21.75" customHeight="1">
      <c r="U61" s="20"/>
      <c r="V61" s="36"/>
    </row>
    <row r="62" spans="7:22" s="21" customFormat="1" ht="18.75" customHeight="1">
      <c r="U62" s="20"/>
      <c r="V62" s="36"/>
    </row>
    <row r="63" spans="7:22" s="21" customFormat="1" ht="18.75" customHeight="1">
      <c r="U63" s="20"/>
      <c r="V63" s="36"/>
    </row>
    <row r="64" spans="7:22" s="21" customFormat="1" ht="20.25" customHeight="1">
      <c r="U64" s="20"/>
      <c r="V64" s="36"/>
    </row>
    <row r="65" spans="16:22" s="21" customFormat="1" ht="23.25" customHeight="1">
      <c r="U65" s="20"/>
      <c r="V65" s="36"/>
    </row>
    <row r="66" spans="16:22" s="21" customFormat="1" ht="18.75" customHeight="1">
      <c r="U66" s="20"/>
      <c r="V66" s="36"/>
    </row>
    <row r="67" spans="16:22" s="21" customFormat="1" ht="21" customHeight="1">
      <c r="U67" s="20"/>
      <c r="V67" s="36"/>
    </row>
    <row r="68" spans="16:22" s="21" customFormat="1" ht="21.75" customHeight="1">
      <c r="U68" s="20"/>
      <c r="V68" s="36"/>
    </row>
    <row r="69" spans="16:22" s="21" customFormat="1" ht="20.25" customHeight="1">
      <c r="U69" s="20"/>
      <c r="V69" s="36"/>
    </row>
    <row r="70" spans="16:22" s="21" customFormat="1" ht="20.25" customHeight="1">
      <c r="U70" s="20"/>
      <c r="V70" s="36"/>
    </row>
    <row r="71" spans="16:22" s="21" customFormat="1" ht="19.5" customHeight="1">
      <c r="U71" s="20"/>
      <c r="V71" s="36"/>
    </row>
    <row r="72" spans="16:22" s="21" customFormat="1" ht="21.75" customHeight="1">
      <c r="U72" s="20"/>
      <c r="V72" s="36"/>
    </row>
    <row r="73" spans="16:22" s="21" customFormat="1" ht="22.5" customHeight="1">
      <c r="U73" s="20"/>
      <c r="V73" s="36"/>
    </row>
    <row r="74" spans="16:22" s="21" customFormat="1" ht="23.25" customHeight="1">
      <c r="U74" s="20"/>
      <c r="V74" s="36"/>
    </row>
    <row r="75" spans="16:22" s="21" customFormat="1" ht="24.75" customHeight="1">
      <c r="U75" s="20"/>
      <c r="V75" s="36"/>
    </row>
    <row r="76" spans="16:22" s="21" customFormat="1" ht="27.75" customHeight="1">
      <c r="U76" s="20"/>
      <c r="V76" s="36"/>
    </row>
    <row r="77" spans="16:22" s="21" customFormat="1" ht="27.75" customHeight="1">
      <c r="U77" s="20"/>
      <c r="V77" s="36"/>
    </row>
    <row r="78" spans="16:22" s="21" customFormat="1" ht="27.75" customHeight="1">
      <c r="U78" s="20"/>
      <c r="V78" s="36"/>
    </row>
    <row r="79" spans="16:22" s="21" customFormat="1" ht="27.75" customHeight="1">
      <c r="U79" s="20"/>
      <c r="V79" s="36"/>
    </row>
    <row r="80" spans="16:22" s="21" customFormat="1" ht="27.75" customHeight="1">
      <c r="P80" s="20"/>
      <c r="Q80" s="36"/>
      <c r="R80" s="20"/>
      <c r="T80" s="36"/>
      <c r="U80" s="20"/>
      <c r="V80" s="36"/>
    </row>
    <row r="81" spans="2:22" s="21" customFormat="1" ht="27.75" customHeight="1">
      <c r="P81" s="20"/>
      <c r="Q81" s="36"/>
      <c r="R81" s="20"/>
      <c r="T81" s="36"/>
      <c r="U81" s="20"/>
      <c r="V81" s="36"/>
    </row>
    <row r="82" spans="2:22" s="21" customFormat="1" ht="27.75" customHeight="1"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P82" s="20"/>
      <c r="Q82" s="36"/>
      <c r="R82" s="20"/>
      <c r="T82" s="36"/>
      <c r="U82" s="20"/>
      <c r="V82" s="36"/>
    </row>
    <row r="83" spans="2:22" s="21" customFormat="1" ht="27.75" customHeight="1"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P83" s="20"/>
      <c r="Q83" s="36"/>
      <c r="R83" s="20"/>
      <c r="T83" s="36"/>
      <c r="U83" s="20"/>
      <c r="V83" s="36"/>
    </row>
    <row r="84" spans="2:22" s="21" customFormat="1" ht="27.75" customHeight="1"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P84" s="20"/>
      <c r="Q84" s="36"/>
      <c r="R84" s="20"/>
      <c r="T84" s="36"/>
      <c r="U84" s="20"/>
      <c r="V84" s="36"/>
    </row>
    <row r="85" spans="2:22" s="21" customFormat="1" ht="27.75" customHeight="1">
      <c r="O85" s="36"/>
      <c r="P85" s="20"/>
      <c r="Q85" s="36"/>
      <c r="R85" s="20"/>
      <c r="T85" s="36"/>
      <c r="V85" s="36"/>
    </row>
    <row r="86" spans="2:22" s="21" customFormat="1" ht="27.75" customHeight="1">
      <c r="O86" s="36"/>
      <c r="P86" s="20"/>
      <c r="Q86" s="36"/>
      <c r="R86" s="20"/>
      <c r="T86" s="36"/>
      <c r="V86" s="36"/>
    </row>
    <row r="87" spans="2:22" s="21" customFormat="1" ht="27.75" customHeight="1">
      <c r="O87" s="36"/>
      <c r="P87" s="20"/>
      <c r="Q87" s="36"/>
      <c r="R87" s="20"/>
      <c r="T87" s="36"/>
      <c r="V87" s="36"/>
    </row>
    <row r="88" spans="2:22" s="21" customFormat="1" ht="27.75" customHeight="1">
      <c r="O88" s="36"/>
      <c r="P88" s="20"/>
      <c r="Q88" s="36"/>
      <c r="R88" s="20"/>
      <c r="T88" s="36"/>
      <c r="V88" s="36"/>
    </row>
    <row r="89" spans="2:22" s="21" customFormat="1" ht="27.75" customHeight="1">
      <c r="O89" s="36"/>
      <c r="P89" s="20"/>
      <c r="Q89" s="36"/>
      <c r="R89" s="20"/>
      <c r="T89" s="36"/>
      <c r="V89" s="36"/>
    </row>
    <row r="90" spans="2:22" s="21" customFormat="1" ht="27.75" customHeight="1">
      <c r="O90" s="36"/>
      <c r="P90" s="20"/>
      <c r="Q90" s="36"/>
      <c r="R90" s="20"/>
      <c r="T90" s="36"/>
      <c r="V90" s="36"/>
    </row>
    <row r="91" spans="2:22" s="21" customFormat="1" ht="27.75" customHeight="1">
      <c r="O91" s="36"/>
      <c r="P91" s="20"/>
      <c r="Q91" s="36"/>
      <c r="R91" s="20"/>
      <c r="T91" s="36"/>
      <c r="V91" s="36"/>
    </row>
    <row r="92" spans="2:22" s="21" customFormat="1" ht="27.75" customHeight="1">
      <c r="O92" s="36"/>
      <c r="P92" s="20"/>
      <c r="Q92" s="36"/>
      <c r="R92" s="20"/>
      <c r="T92" s="36"/>
      <c r="V92" s="36"/>
    </row>
    <row r="93" spans="2:22" s="21" customFormat="1" ht="27.75" customHeight="1">
      <c r="O93" s="36"/>
      <c r="P93" s="20"/>
      <c r="Q93" s="36"/>
      <c r="R93" s="20"/>
      <c r="T93" s="36"/>
      <c r="V93" s="36"/>
    </row>
    <row r="94" spans="2:22" s="21" customFormat="1" ht="27.75" customHeight="1">
      <c r="O94" s="36"/>
      <c r="P94" s="20"/>
      <c r="Q94" s="36"/>
      <c r="R94" s="20"/>
      <c r="T94" s="36"/>
      <c r="V94" s="36"/>
    </row>
    <row r="95" spans="2:22" s="21" customFormat="1" ht="27.75" customHeight="1">
      <c r="O95" s="36"/>
      <c r="P95" s="20"/>
      <c r="Q95" s="36"/>
      <c r="R95" s="20"/>
      <c r="T95" s="36"/>
      <c r="V95" s="36"/>
    </row>
    <row r="96" spans="2:22" s="21" customFormat="1" ht="27.75" customHeight="1">
      <c r="O96" s="36"/>
      <c r="P96" s="20"/>
      <c r="Q96" s="36"/>
      <c r="R96" s="20"/>
      <c r="T96" s="36"/>
      <c r="V96" s="36"/>
    </row>
    <row r="97" spans="14:38" s="21" customFormat="1" ht="27.75" customHeight="1">
      <c r="O97" s="36"/>
      <c r="P97" s="20"/>
      <c r="Q97" s="36"/>
      <c r="R97" s="20"/>
      <c r="T97" s="36"/>
      <c r="V97" s="36"/>
    </row>
    <row r="98" spans="14:38" s="21" customFormat="1" ht="27.75" customHeight="1">
      <c r="N98" s="35"/>
      <c r="O98" s="36"/>
      <c r="P98" s="20"/>
      <c r="Q98" s="36"/>
      <c r="R98" s="20"/>
      <c r="T98" s="36"/>
      <c r="V98" s="36"/>
    </row>
    <row r="99" spans="14:38" s="21" customFormat="1" ht="27.75" customHeight="1">
      <c r="N99" s="35"/>
      <c r="O99" s="36"/>
      <c r="P99" s="20"/>
      <c r="Q99" s="36"/>
      <c r="R99" s="20"/>
      <c r="T99" s="36"/>
      <c r="V99" s="36"/>
    </row>
    <row r="100" spans="14:38" s="21" customFormat="1" ht="27.75" customHeight="1">
      <c r="N100" s="35"/>
      <c r="O100" s="36"/>
      <c r="P100" s="20"/>
      <c r="Q100" s="36"/>
      <c r="R100" s="20"/>
      <c r="T100" s="36"/>
      <c r="V100" s="36"/>
    </row>
    <row r="101" spans="14:38" s="21" customFormat="1" ht="27.75" customHeight="1">
      <c r="O101" s="36"/>
      <c r="P101" s="20"/>
      <c r="Q101" s="36"/>
      <c r="R101" s="20"/>
      <c r="T101" s="36"/>
      <c r="V101" s="36"/>
    </row>
    <row r="102" spans="14:38" s="21" customFormat="1" ht="27.75" customHeight="1">
      <c r="O102" s="36"/>
      <c r="P102" s="20"/>
      <c r="Q102" s="36"/>
      <c r="R102" s="20"/>
      <c r="T102" s="36"/>
      <c r="V102" s="36"/>
    </row>
    <row r="103" spans="14:38" s="21" customFormat="1" ht="27.75" customHeight="1">
      <c r="N103" s="35"/>
      <c r="O103" s="36"/>
      <c r="P103" s="20"/>
      <c r="Q103" s="36"/>
      <c r="R103" s="20"/>
      <c r="T103" s="36"/>
      <c r="V103" s="36"/>
    </row>
    <row r="104" spans="14:38" s="21" customFormat="1" ht="27.75" customHeight="1">
      <c r="N104" s="35"/>
      <c r="O104" s="36"/>
      <c r="P104" s="20"/>
      <c r="Q104" s="36"/>
      <c r="R104" s="20"/>
      <c r="T104" s="36"/>
      <c r="V104" s="36"/>
    </row>
    <row r="105" spans="14:38" s="21" customFormat="1" ht="27.75" customHeight="1">
      <c r="O105" s="36"/>
      <c r="P105" s="20"/>
      <c r="Q105" s="36"/>
      <c r="R105" s="20"/>
      <c r="T105" s="36"/>
      <c r="V105" s="36"/>
    </row>
    <row r="106" spans="14:38" s="21" customFormat="1" ht="27.75" customHeight="1">
      <c r="O106" s="36"/>
      <c r="P106" s="20"/>
      <c r="Q106" s="36"/>
      <c r="R106" s="20"/>
      <c r="T106" s="36"/>
      <c r="V106" s="36"/>
    </row>
    <row r="107" spans="14:38" s="21" customFormat="1" ht="27.75" customHeight="1">
      <c r="N107" s="35"/>
      <c r="O107" s="36"/>
      <c r="P107" s="20"/>
      <c r="Q107" s="36"/>
      <c r="R107" s="20"/>
      <c r="T107" s="36"/>
      <c r="V107" s="36"/>
    </row>
    <row r="108" spans="14:38" s="21" customFormat="1" ht="27.75" customHeight="1">
      <c r="N108" s="35"/>
      <c r="O108" s="36"/>
      <c r="P108" s="20"/>
      <c r="Q108" s="36"/>
      <c r="R108" s="20"/>
      <c r="T108" s="36"/>
      <c r="V108" s="36"/>
    </row>
    <row r="109" spans="14:38" s="21" customFormat="1" ht="27.75" customHeight="1">
      <c r="N109" s="35"/>
      <c r="O109" s="36"/>
      <c r="P109" s="20"/>
      <c r="Q109" s="36"/>
      <c r="R109" s="20"/>
      <c r="T109" s="36"/>
      <c r="V109" s="36"/>
    </row>
    <row r="110" spans="14:38" ht="27.75" customHeight="1">
      <c r="N110" s="35"/>
      <c r="O110" s="36"/>
      <c r="P110" s="20"/>
      <c r="Q110" s="36"/>
      <c r="R110" s="20"/>
      <c r="S110" s="21"/>
      <c r="T110" s="36"/>
      <c r="V110" s="36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</row>
    <row r="111" spans="14:38" ht="27.75" customHeight="1">
      <c r="N111" s="35"/>
      <c r="O111" s="36"/>
      <c r="P111" s="20"/>
      <c r="Q111" s="36"/>
      <c r="R111" s="20"/>
      <c r="S111" s="21"/>
      <c r="T111" s="36"/>
      <c r="V111" s="36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</row>
    <row r="112" spans="14:38" ht="27.75" customHeight="1">
      <c r="N112" s="35"/>
      <c r="O112" s="36"/>
      <c r="P112" s="20"/>
      <c r="Q112" s="36"/>
      <c r="R112" s="20"/>
      <c r="S112" s="21"/>
      <c r="T112" s="36"/>
      <c r="V112" s="36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</row>
    <row r="113" spans="1:38" ht="27.75" customHeight="1">
      <c r="N113" s="35"/>
      <c r="O113" s="36"/>
      <c r="P113" s="20"/>
      <c r="Q113" s="36"/>
      <c r="R113" s="20"/>
      <c r="S113" s="21"/>
      <c r="T113" s="36"/>
      <c r="V113" s="36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</row>
    <row r="114" spans="1:38" ht="27.75" customHeight="1">
      <c r="N114" s="35"/>
      <c r="O114" s="36"/>
      <c r="P114" s="20"/>
      <c r="Q114" s="36"/>
      <c r="R114" s="20"/>
      <c r="S114" s="21"/>
      <c r="T114" s="36"/>
      <c r="V114" s="36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</row>
    <row r="115" spans="1:38" ht="27.75" customHeight="1">
      <c r="N115" s="35"/>
      <c r="O115" s="36"/>
      <c r="P115" s="20"/>
      <c r="Q115" s="36"/>
      <c r="R115" s="20"/>
      <c r="S115" s="21"/>
      <c r="T115" s="36"/>
      <c r="V115" s="36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</row>
    <row r="116" spans="1:38" ht="27.75" customHeight="1">
      <c r="N116" s="35"/>
      <c r="O116" s="36"/>
      <c r="P116" s="20"/>
      <c r="Q116" s="36"/>
      <c r="R116" s="20"/>
      <c r="S116" s="21"/>
      <c r="T116" s="36"/>
      <c r="V116" s="36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</row>
    <row r="117" spans="1:38" ht="27.75" customHeight="1">
      <c r="N117" s="35"/>
      <c r="O117" s="36"/>
      <c r="P117" s="20"/>
      <c r="Q117" s="36"/>
      <c r="R117" s="20"/>
      <c r="S117" s="21"/>
      <c r="T117" s="36"/>
      <c r="V117" s="36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</row>
    <row r="118" spans="1:38" ht="27.75" customHeight="1">
      <c r="N118" s="35"/>
      <c r="O118" s="36"/>
      <c r="P118" s="20"/>
      <c r="Q118" s="36"/>
      <c r="R118" s="20"/>
      <c r="S118" s="21"/>
      <c r="T118" s="36"/>
      <c r="V118" s="36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</row>
    <row r="119" spans="1:38" ht="27.75" customHeight="1">
      <c r="A119" s="35"/>
      <c r="N119" s="35"/>
      <c r="O119" s="36"/>
      <c r="P119" s="20"/>
      <c r="Q119" s="36"/>
      <c r="R119" s="20"/>
      <c r="S119" s="21"/>
      <c r="T119" s="36"/>
      <c r="V119" s="36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</row>
    <row r="120" spans="1:38" ht="27.75" customHeight="1">
      <c r="N120" s="35"/>
      <c r="V120" s="36"/>
      <c r="W120" s="21"/>
      <c r="X120" s="21"/>
      <c r="Y120" s="21"/>
    </row>
    <row r="121" spans="1:38" ht="27.75" customHeight="1">
      <c r="N121" s="35"/>
    </row>
  </sheetData>
  <mergeCells count="14">
    <mergeCell ref="T16:V16"/>
    <mergeCell ref="D2:T2"/>
    <mergeCell ref="D3:J5"/>
    <mergeCell ref="T3:X3"/>
    <mergeCell ref="O5:S15"/>
    <mergeCell ref="F6:J6"/>
    <mergeCell ref="T6:Z15"/>
    <mergeCell ref="C7:D7"/>
    <mergeCell ref="C9:D9"/>
    <mergeCell ref="C10:D10"/>
    <mergeCell ref="C12:D12"/>
    <mergeCell ref="C13:D13"/>
    <mergeCell ref="K13:L13"/>
    <mergeCell ref="C15:D15"/>
  </mergeCells>
  <phoneticPr fontId="25" type="noConversion"/>
  <printOptions horizontalCentered="1"/>
  <pageMargins left="0.4" right="0.4" top="0.4" bottom="0.4" header="0.25" footer="0.25"/>
  <pageSetup paperSize="9" scale="62" fitToHeight="0" orientation="portrait" r:id="rId1"/>
  <headerFooter differentFirst="1">
    <oddFooter>&amp;CPage &amp;P of &amp;N</oddFooter>
  </headerFooter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tabColor theme="1" tint="0.249977111117893"/>
  </sheetPr>
  <dimension ref="B2:B6"/>
  <sheetViews>
    <sheetView zoomScale="125" zoomScaleNormal="125" workbookViewId="0"/>
  </sheetViews>
  <sheetFormatPr defaultColWidth="8.85546875" defaultRowHeight="13.5"/>
  <cols>
    <col min="1" max="1" width="1.7109375" customWidth="1"/>
  </cols>
  <sheetData>
    <row r="2" spans="2:2">
      <c r="B2" t="s">
        <v>0</v>
      </c>
    </row>
    <row r="4" spans="2:2">
      <c r="B4" s="5" t="e">
        <f>MIN(1-B5,1)</f>
        <v>#REF!</v>
      </c>
    </row>
    <row r="5" spans="2:2">
      <c r="B5" s="5" t="e">
        <f>MIN(ОбщиеРасходыЗаМесяц/ОбщиеДоходыЗаМесяц,1)</f>
        <v>#REF!</v>
      </c>
    </row>
    <row r="6" spans="2:2">
      <c r="B6" t="e">
        <f>(ОбщиеРасходыЗаМесяц/ОбщиеДоходыЗаМесяц)&gt;1</f>
        <v>#REF!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TM10000049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Срочный Рынок</vt:lpstr>
      <vt:lpstr>Данные диаграммы</vt:lpstr>
      <vt:lpstr>'Срочный Рынок'!Заголовки_для_печати</vt:lpstr>
      <vt:lpstr>'Срочный Рынок'!ОбщиеДоходыЗаМесяц</vt:lpstr>
      <vt:lpstr>'Срочный Рынок'!ОбщиеРасходыЗаМесяц</vt:lpstr>
      <vt:lpstr>'Срочный Рынок'!ОбщиеСбереженияЗаМесяц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2014-09-09T12:15:28Z</dcterms:created>
  <dcterms:modified xsi:type="dcterms:W3CDTF">2025-10-23T08:06:47Z</dcterms:modified>
</cp:coreProperties>
</file>