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date1904="1"/>
  <mc:AlternateContent xmlns:mc="http://schemas.openxmlformats.org/markup-compatibility/2006">
    <mc:Choice Requires="x15">
      <x15ac:absPath xmlns:x15ac="http://schemas.microsoft.com/office/spreadsheetml/2010/11/ac" url="/Users/kelly/Desktop/Transfac/"/>
    </mc:Choice>
  </mc:AlternateContent>
  <bookViews>
    <workbookView xWindow="20" yWindow="460" windowWidth="25600" windowHeight="14480"/>
  </bookViews>
  <sheets>
    <sheet name="Pricing Model 11.0" sheetId="1" r:id="rId1"/>
  </sheets>
  <definedNames>
    <definedName name="_xlnm.Print_Area" localSheetId="0">'Pricing Model 11.0'!$A$1:$J$100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H23" i="1"/>
  <c r="G122" i="1"/>
  <c r="G131" i="1"/>
  <c r="G127" i="1"/>
  <c r="G139" i="1"/>
  <c r="I60" i="1"/>
  <c r="G57" i="1"/>
  <c r="I57" i="1"/>
  <c r="G78" i="1"/>
  <c r="I122" i="1"/>
  <c r="G35" i="1"/>
  <c r="G125" i="1"/>
  <c r="G129" i="1"/>
  <c r="G128" i="1"/>
  <c r="G126" i="1"/>
  <c r="I50" i="1"/>
  <c r="E150" i="1"/>
  <c r="I95" i="1"/>
  <c r="I47" i="1"/>
  <c r="I125" i="1"/>
  <c r="I129" i="1"/>
  <c r="I128" i="1"/>
  <c r="I126" i="1"/>
  <c r="I139" i="1"/>
  <c r="H129" i="1"/>
  <c r="H128" i="1"/>
  <c r="H126" i="1"/>
  <c r="H139" i="1"/>
  <c r="F78" i="1"/>
  <c r="F122" i="1"/>
  <c r="F129" i="1"/>
  <c r="F128" i="1"/>
  <c r="F126" i="1"/>
  <c r="F139" i="1"/>
  <c r="E78" i="1"/>
  <c r="E122" i="1"/>
  <c r="E125" i="1"/>
  <c r="E129" i="1"/>
  <c r="E128" i="1"/>
  <c r="E126" i="1"/>
  <c r="E139" i="1"/>
  <c r="I84" i="1"/>
  <c r="H84" i="1"/>
  <c r="G84" i="1"/>
  <c r="F84" i="1"/>
  <c r="E84" i="1"/>
  <c r="F138" i="1"/>
  <c r="E138" i="1"/>
  <c r="I138" i="1"/>
  <c r="H138" i="1"/>
  <c r="I81" i="1"/>
  <c r="H81" i="1"/>
  <c r="F81" i="1"/>
  <c r="E81" i="1"/>
  <c r="G81" i="1"/>
  <c r="G138" i="1"/>
  <c r="B48" i="1"/>
  <c r="G92" i="1"/>
  <c r="B51" i="1"/>
  <c r="B32" i="1"/>
  <c r="B37" i="1"/>
  <c r="B42" i="1"/>
  <c r="B45" i="1"/>
  <c r="B38" i="1"/>
  <c r="K32" i="1"/>
  <c r="B125" i="1"/>
  <c r="B129" i="1"/>
  <c r="I41" i="1"/>
  <c r="I38" i="1"/>
  <c r="I44" i="1"/>
  <c r="F125" i="1"/>
  <c r="H125" i="1"/>
  <c r="G130" i="1"/>
  <c r="G80" i="1"/>
  <c r="H78" i="1"/>
  <c r="H122" i="1"/>
  <c r="H131" i="1"/>
  <c r="D23" i="1"/>
  <c r="F131" i="1"/>
  <c r="F130" i="1"/>
  <c r="F80" i="1"/>
  <c r="G136" i="1"/>
  <c r="F136" i="1"/>
  <c r="I136" i="1"/>
  <c r="E136" i="1"/>
  <c r="H136" i="1"/>
  <c r="D25" i="1"/>
  <c r="H25" i="1"/>
  <c r="G123" i="1"/>
  <c r="G124" i="1"/>
  <c r="G83" i="1"/>
  <c r="G85" i="1"/>
  <c r="I35" i="1"/>
  <c r="I32" i="1"/>
  <c r="E130" i="1"/>
  <c r="E80" i="1"/>
  <c r="E131" i="1"/>
  <c r="E127" i="1"/>
  <c r="I130" i="1"/>
  <c r="I80" i="1"/>
  <c r="I131" i="1"/>
  <c r="I127" i="1"/>
  <c r="F137" i="1"/>
  <c r="I137" i="1"/>
  <c r="G137" i="1"/>
  <c r="E137" i="1"/>
  <c r="H137" i="1"/>
  <c r="F83" i="1"/>
  <c r="F85" i="1"/>
  <c r="F127" i="1"/>
  <c r="F124" i="1"/>
  <c r="H123" i="1"/>
  <c r="H127" i="1"/>
  <c r="H124" i="1"/>
  <c r="H83" i="1"/>
  <c r="H85" i="1"/>
  <c r="H130" i="1"/>
  <c r="H80" i="1"/>
  <c r="F123" i="1"/>
  <c r="G132" i="1"/>
  <c r="I99" i="1"/>
  <c r="G140" i="1"/>
  <c r="I140" i="1"/>
  <c r="H140" i="1"/>
  <c r="E140" i="1"/>
  <c r="F140" i="1"/>
  <c r="E123" i="1"/>
  <c r="E124" i="1"/>
  <c r="E83" i="1"/>
  <c r="E85" i="1"/>
  <c r="I124" i="1"/>
  <c r="I123" i="1"/>
  <c r="I83" i="1"/>
  <c r="I85" i="1"/>
  <c r="H132" i="1"/>
  <c r="H133" i="1"/>
  <c r="F132" i="1"/>
  <c r="F133" i="1"/>
  <c r="F145" i="1"/>
  <c r="I62" i="1"/>
  <c r="I141" i="1"/>
  <c r="G141" i="1"/>
  <c r="E141" i="1"/>
  <c r="H141" i="1"/>
  <c r="F141" i="1"/>
  <c r="H144" i="1"/>
  <c r="I52" i="1"/>
  <c r="I97" i="1"/>
  <c r="I98" i="1"/>
  <c r="G133" i="1"/>
  <c r="I132" i="1"/>
  <c r="I133" i="1"/>
  <c r="E132" i="1"/>
  <c r="E133" i="1"/>
  <c r="F146" i="1"/>
  <c r="H146" i="1"/>
  <c r="G144" i="1"/>
  <c r="H145" i="1"/>
  <c r="F144" i="1"/>
  <c r="F147" i="1"/>
  <c r="F87" i="1"/>
  <c r="I63" i="1"/>
  <c r="H147" i="1"/>
  <c r="H87" i="1"/>
  <c r="I144" i="1"/>
  <c r="E144" i="1"/>
  <c r="E146" i="1"/>
  <c r="E147" i="1"/>
  <c r="I53" i="1"/>
  <c r="G145" i="1"/>
  <c r="I66" i="1"/>
  <c r="I146" i="1"/>
  <c r="I147" i="1"/>
  <c r="E145" i="1"/>
  <c r="I69" i="1"/>
  <c r="G146" i="1"/>
  <c r="G147" i="1"/>
  <c r="I65" i="1"/>
  <c r="I145" i="1"/>
  <c r="F148" i="1"/>
  <c r="F88" i="1"/>
  <c r="H148" i="1"/>
  <c r="H88" i="1"/>
  <c r="E87" i="1"/>
  <c r="E148" i="1"/>
  <c r="E88" i="1"/>
  <c r="I87" i="1"/>
  <c r="I148" i="1"/>
  <c r="I88" i="1"/>
  <c r="I71" i="1"/>
  <c r="G87" i="1"/>
  <c r="G148" i="1"/>
  <c r="I72" i="1"/>
  <c r="G88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F5" authorId="0">
      <text>
        <r>
          <rPr>
            <sz val="10"/>
            <color indexed="81"/>
            <rFont val="Tahoma"/>
            <family val="2"/>
          </rPr>
          <t>Insert prospect/client name.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6" authorId="0">
      <text>
        <r>
          <rPr>
            <sz val="10"/>
            <color indexed="81"/>
            <rFont val="Tahoma"/>
            <family val="2"/>
          </rPr>
          <t>Additional space for prospect/client name or dba.</t>
        </r>
      </text>
    </comment>
    <comment ref="F10" authorId="0">
      <text>
        <r>
          <rPr>
            <sz val="10"/>
            <color indexed="81"/>
            <rFont val="Tahoma"/>
            <family val="2"/>
          </rPr>
          <t>Insert your name.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Insert the Credit Line in dollars.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Insert the Inventory Sub Line in dollars.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Insert the A/R 
Advance Rate as a percentage.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Insert the Inventory Advance Rate as a percentage.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Insert the Projected Annual Volume in dollars.</t>
        </r>
      </text>
    </comment>
    <comment ref="H19" authorId="0">
      <text>
        <r>
          <rPr>
            <sz val="10"/>
            <color indexed="81"/>
            <rFont val="Tahoma"/>
            <family val="2"/>
          </rPr>
          <t xml:space="preserve">Insert the number of days per year that the inventory loan will not be present, e.g., if a 30 day clean up is required twice a year, insert 60 days.
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Insert the A/R Turn as calculated or as projected.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Insert the Projected Eligible Inventory in dollars.</t>
        </r>
      </text>
    </comment>
    <comment ref="E32" authorId="0">
      <text>
        <r>
          <rPr>
            <sz val="10"/>
            <color indexed="81"/>
            <rFont val="Tahoma"/>
            <family val="2"/>
          </rPr>
          <t xml:space="preserve">If a Commission Rate or Tiered Pricing is chosen, insert the % rate and the # of days the rate applies under the Tiers desired..  
For example, to charge 1.0% for each 10 days,  under Tier 1 insert 1.0% for "%," 10 for "days," and under Tier 2 insert a 0 in both "%" and "days."  To charge 1.0% for the first 10 days and 0.5% for each 5 days thereafter, under Tier 1 insert 1.0% for "%," 10 for "days," and under Tier 2 insert 0.5% for "%" and 5 for "days."
If a one time or flat Commission Rate is chosen, insert under Tier 1 the % desired and a 0 under "days," and under Tier 2 insert a 0 for both "%" and "days."
If no Commission Rate or Tiered Pricing is desired, insert a 0 in both "%' and "days" for both Tiers 1 and Tier 2.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2" authorId="0">
      <text>
        <r>
          <rPr>
            <sz val="10"/>
            <color indexed="81"/>
            <rFont val="Tahoma"/>
            <family val="2"/>
          </rPr>
          <t xml:space="preserve">If a Commission Rate or Tiered Pricing is chosen, insert the % rate and the # of days the rate applies under the Tiers desired..  
For example, to charge 1.0% for each 10 days,  under Tier 1 insert 1.0% for "%," 10 for "days," and under Tier 2 insert a 0 in both "%" and "days."  To charge 1.0% for the first 10 days and 0.5% for each 5 days thereafter, under Tier 1 insert 1.0% for "%," 10 for "days," and under Tier 2 insert 0.5% for "%" and 5 for "days."
If a one time or flat commission rate is chosen, insert under Tier 1 the % desired and a 0 under "days," and under Tier 2 insert a 0 for both "%" and "days."
If no Commission Rate or Tiered Pricing is desired, insert a 0 in both "%' and "days" for both Tiers 1 and Tier 2.
</t>
        </r>
      </text>
    </comment>
    <comment ref="G32" authorId="0">
      <text>
        <r>
          <rPr>
            <sz val="10"/>
            <color indexed="81"/>
            <rFont val="Tahoma"/>
            <family val="2"/>
          </rPr>
          <t xml:space="preserve">If a Commission Rate or Tiered Pricing is chosen, insert the % rate and the # of days the rate applies under the Tiers desired..  
For example, to charge 1.0% for each 10 days,  under Tier 1 insert 1.0% for "%," 10 for "days," and under Tier 2 insert a 0 in both "%" and "days."  To charge 1.0% for the first 10 days and 0.5% for each 5 days thereafter, under Tier 1 insert 1.0% for "%," 10 for "days," and under Tier 2 insert 0.5% for "%" and 5 for "days."
If a one time or flat commission rate is chosen, insert under Tier 1 the % desired and a 0 under "days," and under Tier 2 insert a 0 for both "%" and "days."
If no Commission Rate or Tiered Pricing is desired, insert a 0 in both "%' and "days" for both Tiers 1 and Tier 2.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2" authorId="0">
      <text>
        <r>
          <rPr>
            <sz val="10"/>
            <color indexed="81"/>
            <rFont val="Tahoma"/>
            <family val="2"/>
          </rPr>
          <t xml:space="preserve">If a Commission Rate or Tiered Pricing is chosen, insert the % rate and the # of days the rate applies under the Tiers desired..  
For example, to charge 1.0% for each 10 days,  under Tier 1 insert 1.0% for "%," 10 for "days," and under Tier 2 insert a 0 in both "%" and "days."  To charge 1.0% for the first 10 days and 0.5% for each 5 days thereafter, under Tier 1 insert 1.0% for "%," 10 for "days," and under Tier 2 insert 0.5% for "%" and 5 for "days."
If a one time or flat commission rate is chosen, insert under Tier 1 the % desired and a 0 under "days," and under Tier 2 insert a 0 for both "%" and "days."
If no Commission Rate or Tiered Pricing is desired, insert a 0 in both "%' and "days" for both Tiers 1 and Tier 2.
</t>
        </r>
      </text>
    </comment>
    <comment ref="E35" authorId="0">
      <text>
        <r>
          <rPr>
            <sz val="10"/>
            <color indexed="81"/>
            <rFont val="Tahoma"/>
            <family val="2"/>
          </rPr>
          <t xml:space="preserve">If an Interest Rate  is chosen, insert the Prime Rate.
If no Interest Rate is chosen, insert a 0.
</t>
        </r>
      </text>
    </comment>
    <comment ref="F35" authorId="0">
      <text>
        <r>
          <rPr>
            <sz val="10"/>
            <color indexed="81"/>
            <rFont val="Tahoma"/>
            <family val="2"/>
          </rPr>
          <t xml:space="preserve">If an Interest Rate is chosen, insert rate over Prime Rate to be charged.  If the rate is below the Prime Rate, insert the Interest Rate as a negative number.
If no Interest Rate is chosen, insert a 0.
</t>
        </r>
      </text>
    </comment>
    <comment ref="E38" authorId="0">
      <text>
        <r>
          <rPr>
            <sz val="10"/>
            <color indexed="81"/>
            <rFont val="Tahoma"/>
            <family val="2"/>
          </rPr>
          <t xml:space="preserve">If an Interest Rate  is chosen, insert number of Collection Days.  Collection Days can range from 0 to 15.
If no Interest Rate is chosen, this field is automatically disabled.  A 0 does not have to be inserted.
</t>
        </r>
      </text>
    </comment>
    <comment ref="G38" authorId="0">
      <text>
        <r>
          <rPr>
            <sz val="10"/>
            <color indexed="81"/>
            <rFont val="Tahoma"/>
            <family val="2"/>
          </rPr>
          <t>If an Interest Rate  is chosen, insert either B for business days or C for calendar days.
If no Interest Rate is chosen, this field is automatically disabled.  A 0 does not have to be inserted.</t>
        </r>
      </text>
    </comment>
    <comment ref="E41" authorId="0">
      <text>
        <r>
          <rPr>
            <sz val="10"/>
            <color indexed="81"/>
            <rFont val="Tahoma"/>
            <family val="2"/>
          </rPr>
          <t>If a  Collateral Mgt. Fee is chosen  insert the dollar amount to be charged.  The "# Months" field must also be completed for the Collateral Mgt. Fee to accurately calculate.
For a one time or flat Collateral Mgt. Fee insert a 0 under "# of Months."
If no Collateral Mgt. Fee is to be calculated, insert a 0.</t>
        </r>
      </text>
    </comment>
    <comment ref="F41" authorId="0">
      <text>
        <r>
          <rPr>
            <sz val="10"/>
            <color indexed="81"/>
            <rFont val="Tahoma"/>
            <family val="2"/>
          </rPr>
          <t xml:space="preserve">If a Collateral Mgt. Fee is chosen, insert the number of months the Collateral Mgt.Fee will be based.  Choose either 1 for monthly, 2 for every other month, 3 for quarterly, 4 for three times per year, 6 for semiannually or 12 for annually. 
For example, if a $500 Collateral Mgt. Fee is chosen along with 1 month, the minimum charge would be $6,000 per year; if 3 months is chosen, the Collateral Mgt. Fee would be $2,000 per year.
For a one time or flat Collateral Mgt. Fee insert a 0 under "# of Months."
If no Collateral Mgt. Fee is to be calculated, insert a 0.
</t>
        </r>
      </text>
    </comment>
    <comment ref="E44" authorId="0">
      <text>
        <r>
          <rPr>
            <sz val="10"/>
            <color indexed="81"/>
            <rFont val="Tahoma"/>
            <family val="2"/>
          </rPr>
          <t>If an Admin. Fee is chosen, insert the Admin. Fee to be charged as a % of Average Funds in Use.
For a one time or flat Admin. Fee insert a 0 under "# of Months."
If no Admin. Fee is to be charged, insert a 0.</t>
        </r>
      </text>
    </comment>
    <comment ref="F44" authorId="0">
      <text>
        <r>
          <rPr>
            <sz val="10"/>
            <color indexed="81"/>
            <rFont val="Tahoma"/>
            <family val="2"/>
          </rPr>
          <t xml:space="preserve">If an Admin. Fee is chosen, insert the number of months the Admin. Fee will be based.  Choose either 1 for monthly, 2 for every other month, 3 for quarterly, 4 for three times per year, 6 for semiannually or 12 for annually.  For example, if a $500 Admin. Fee is chosen along with 1 month, the Admin. Fee would be $6,000 per year; if 3 months is chosen, the Admin. Fee would be $2,000 per year.
For a one time or flat Admin. Fee insert a 0 under "# of Months."
If no Admin. Fee is to be calculated, insert a 0.
</t>
        </r>
      </text>
    </comment>
    <comment ref="E47" authorId="0">
      <text>
        <r>
          <rPr>
            <sz val="10"/>
            <color indexed="81"/>
            <rFont val="Tahoma"/>
            <family val="2"/>
          </rPr>
          <t>If Facility / Line Fee is chosen as a percentage, insert as a percentage of the Credit Line.  If Facility / Line Fee is a flat dollar amount, insert dollar amount under "Dollars."  Both fields can be used simultaneously if payment is a percentage of gross income and also a flat dollar fee is also paid.
If no Facility / Line Fee is to be charged, insert a 0 under "Rate" and "Dollars."
.</t>
        </r>
      </text>
    </comment>
    <comment ref="F47" authorId="0">
      <text>
        <r>
          <rPr>
            <sz val="10"/>
            <color indexed="81"/>
            <rFont val="Tahoma"/>
            <family val="2"/>
          </rPr>
          <t>If Facility / Line Fee is chosen as a percentage, insert as a percentage of the Credit Line.  If Facility / Line Fee is a flat dollar amount, insert dollar amount under "Dollars."  Both fields can be used simultaneously if payment is a percentage of gross income and also a flat dollar fee is also paid.
If no Facility / Line Fee is to be charged, insert a 0 under "Rate" and "Dollars."</t>
        </r>
      </text>
    </comment>
    <comment ref="F50" authorId="0">
      <text>
        <r>
          <rPr>
            <sz val="10"/>
            <color indexed="81"/>
            <rFont val="Tahoma"/>
            <family val="2"/>
          </rPr>
          <t>If chosen, insert the frequency of the Refund Period.  Either D for daily, W for weekly, S for semimonthly, M for monthly or N/A for none.  One of the five options must be chosen.</t>
        </r>
      </text>
    </comment>
    <comment ref="E57" authorId="0">
      <text>
        <r>
          <rPr>
            <sz val="10"/>
            <color indexed="81"/>
            <rFont val="Tahoma"/>
            <family val="2"/>
          </rPr>
          <t xml:space="preserve">If an Interest Rate  is chosen, insert the Prime Rate.
If no Interest Rate is chosen, insert a 0.
</t>
        </r>
      </text>
    </comment>
    <comment ref="F57" authorId="0">
      <text>
        <r>
          <rPr>
            <sz val="10"/>
            <color indexed="81"/>
            <rFont val="Tahoma"/>
            <family val="2"/>
          </rPr>
          <t>If an Interest Rate is chosen, insert rate over Prime Rate to be charged.  If the rate is below the Prime Rate, insert the Interest Rate as a negative number.
If no Interest Rate is chosen, insert a 0.</t>
        </r>
      </text>
    </comment>
    <comment ref="E60" authorId="0">
      <text>
        <r>
          <rPr>
            <sz val="10"/>
            <color indexed="81"/>
            <rFont val="Tahoma"/>
            <family val="2"/>
          </rPr>
          <t>If an Admin. Fee is chosen, insert the Admin. Fee to be charged as a % of Inventory Loan.
For a one time or flat Admin. Fee insert a 0 under "# of Months."
If no Admin. Fee is to be charged, insert a 0.</t>
        </r>
      </text>
    </comment>
    <comment ref="F60" authorId="0">
      <text>
        <r>
          <rPr>
            <sz val="10"/>
            <color indexed="81"/>
            <rFont val="Tahoma"/>
            <family val="2"/>
          </rPr>
          <t xml:space="preserve">If an Admin. Fee is chosen, insert the number of months the Admin. Fee will be based.  Choose either 1 for monthly, 2 for every other month, 3 for quarterly, 4 for three times per year, 6 for semiannually or 12 for annually.  For example, if a $500 Admin. Fee is chosen along with 1 month, the Admin. Fee would be $6,000 per year; if 3 months is chosen, the Admin. Fee would be $2,000 per year.
For a one time or flat Admin. Fee insert a 0 under "# of Months."
If no Admin. Fee is to be calculated, insert a 0.
</t>
        </r>
      </text>
    </comment>
    <comment ref="E69" authorId="0">
      <text>
        <r>
          <rPr>
            <sz val="10"/>
            <color indexed="81"/>
            <rFont val="Tahoma"/>
            <family val="2"/>
          </rPr>
          <t>If a Broker or Referral source is to be paid as a percentage of gross income, insert the percentage of the payment.  If payment is to be made as a flat dollar fee, complete "Flat Rate."  Both fields can be used simultaneously if payment is a percentage of gross income (less Faciltiy / Line Fee and the Refund Period) and a flat dollar fee is also paid.
If no Broker or Referral source is to be paid, insert a 0.</t>
        </r>
      </text>
    </comment>
    <comment ref="F69" authorId="0">
      <text>
        <r>
          <rPr>
            <sz val="10"/>
            <color indexed="81"/>
            <rFont val="Tahoma"/>
            <family val="2"/>
          </rPr>
          <t>If Broker or Referral source is to be paid as a flat fee, insert the amount of payment in dollars.  If a Broker or Referral source is to be paid as a percentage of gross income, insert a 0 and complee the "% of Income" field.  Both fields can be used simultaneously if payment is a percentage of gross income and a flat dollar fee is also paid.
If no Broker or Referral source is to be paid, insert a 0.</t>
        </r>
      </text>
    </comment>
    <comment ref="E95" authorId="0">
      <text>
        <r>
          <rPr>
            <sz val="10"/>
            <color indexed="81"/>
            <rFont val="Tahoma"/>
            <family val="2"/>
          </rPr>
          <t>If minimum charges are to be calculated as a percentage of the "Credit Line," insert the percentage here.  If minimum charges are a fixed amount not based on the percentage of the "Credit Line," choose "Dollars."  Both fields cannot be used.  The "# Months" field must also be completed for the minimum charges to accurately calculate.
If no minimum charges are to be calculated, insert a 0.</t>
        </r>
      </text>
    </comment>
    <comment ref="F95" authorId="0">
      <text>
        <r>
          <rPr>
            <sz val="10"/>
            <color indexed="81"/>
            <rFont val="Tahoma"/>
            <family val="2"/>
          </rPr>
          <t>If minimum charges are to be a fixed amount not based on the percentage of the "Credit Line," insert the amount in dollars.  If minimum charges are to be calculated as a percentage of the "Credit Line," complete the "% of Line" field.  Both fields cannot be used.  The "# Months" field must also be completed for the minimum charges to accurately calculate.
If no minimum charges are to be calculated, insert a 0.</t>
        </r>
      </text>
    </comment>
    <comment ref="G95" authorId="0">
      <text>
        <r>
          <rPr>
            <sz val="10"/>
            <color indexed="81"/>
            <rFont val="Tahoma"/>
            <family val="2"/>
          </rPr>
          <t>If minimum charges are to be calculated, insert the number of months the minimum charge will be based.  Choose either 1 for monthly, 2 for every other month, 3 for quarterly, 4 for three times per year, 6 for semiannually or 12 for annually.  For example, if a $500 fixed minimum charge is chosen along with 1 month, the minimum charge would be $6,000 per year; if 3 months is chosen, the minimum charge would be $2,000 per year.
If no minimum charges are to be calculated, insert a 0.</t>
        </r>
      </text>
    </comment>
  </commentList>
</comments>
</file>

<file path=xl/sharedStrings.xml><?xml version="1.0" encoding="utf-8"?>
<sst xmlns="http://schemas.openxmlformats.org/spreadsheetml/2006/main" count="139" uniqueCount="104">
  <si>
    <t xml:space="preserve"> </t>
  </si>
  <si>
    <t xml:space="preserve">COMPANY NAME:  </t>
  </si>
  <si>
    <t xml:space="preserve">DATE:  </t>
  </si>
  <si>
    <t>%</t>
  </si>
  <si>
    <t>TIER 1</t>
  </si>
  <si>
    <t>DAYS</t>
  </si>
  <si>
    <t>TIER 2</t>
  </si>
  <si>
    <t>PRIME</t>
  </si>
  <si>
    <t>RATE OVER</t>
  </si>
  <si>
    <t>RATE</t>
  </si>
  <si>
    <t>A/R TURN:</t>
  </si>
  <si>
    <t>AVERAGE ACCOUNTS RECEIVABLE:</t>
  </si>
  <si>
    <t>FACILITY FEES:</t>
  </si>
  <si>
    <t>TOTAL GROSS INCOME:</t>
  </si>
  <si>
    <t>YIELD CALCULATED AS:</t>
  </si>
  <si>
    <t>% OF LINE</t>
  </si>
  <si>
    <t>DOLLARS</t>
  </si>
  <si>
    <t># MONTHS</t>
  </si>
  <si>
    <t>MINIMUM ANNUAL CHARGES:</t>
  </si>
  <si>
    <t>MINIMUM MONTHLY SALES REQUIRED:</t>
  </si>
  <si>
    <t>IMPORTANT FORMULAS - DO NOT TOUCH (WILL NOT PRINT)</t>
  </si>
  <si>
    <t>AVERAGE FUNDS EMPLOYED:</t>
  </si>
  <si>
    <t>BROKER / REFERRAL FEES</t>
  </si>
  <si>
    <t>COST OF FUNDS (FOR REFUND PERIOD):</t>
  </si>
  <si>
    <t># OF MONTHS</t>
  </si>
  <si>
    <t>COLLATERAL MGT. FEE:</t>
  </si>
  <si>
    <t>ADMIN. FEE:</t>
  </si>
  <si>
    <t>BUS. OR CAL. (B or C):</t>
  </si>
  <si>
    <t>COL. DAYS (15 max.):</t>
  </si>
  <si>
    <t>INT. RATE</t>
  </si>
  <si>
    <t>COMMISSION RATE OR TIERED PRICING:</t>
  </si>
  <si>
    <t>INTEREST RATE:</t>
  </si>
  <si>
    <t>Further directions on the model's use can be found by placing the cursor over the field in question (left of the red dots).</t>
  </si>
  <si>
    <t>MIMIMUM MONTHLY ASSESSMENT MULTIPLE:</t>
  </si>
  <si>
    <t>MINIMUM PEFORMANCE CALCULATIONS</t>
  </si>
  <si>
    <t xml:space="preserve">     (Flat Rate Charged over a Period of Time)</t>
  </si>
  <si>
    <t>FACILITY / LINE FEE:</t>
  </si>
  <si>
    <t xml:space="preserve">               -ANNUAL SALES:</t>
  </si>
  <si>
    <t>FEE</t>
  </si>
  <si>
    <t>FLAT RATE</t>
  </si>
  <si>
    <t>% OF INCOME</t>
  </si>
  <si>
    <t>ANNUAL MIN. FEE</t>
  </si>
  <si>
    <t>BROKER/REFERRAL FEES (Annual):</t>
  </si>
  <si>
    <t>PERIOD (D, W, S, M or N/A)</t>
  </si>
  <si>
    <t>REFUND PERIOD:</t>
  </si>
  <si>
    <t xml:space="preserve">     (Based on the Frequency of the Reserve Release)</t>
  </si>
  <si>
    <t>B</t>
  </si>
  <si>
    <t>A/R FEES AND OTHER CHARGES</t>
  </si>
  <si>
    <t>TOTAL A/R INCOME (Before Broker):</t>
  </si>
  <si>
    <t>A/R:</t>
  </si>
  <si>
    <t>INVENTORY</t>
  </si>
  <si>
    <t>TOTAL</t>
  </si>
  <si>
    <t>AVERAGE INVENTORY:</t>
  </si>
  <si>
    <t>AVERAGE INVENTORY LOAN:</t>
  </si>
  <si>
    <t xml:space="preserve">               -ELIGIBLE INVENTORY:</t>
  </si>
  <si>
    <t>TOTAL A/R INCOME:</t>
  </si>
  <si>
    <t>TOTAL INVENTORY INCOME:</t>
  </si>
  <si>
    <t>GROSS INCOME (Before Broker):</t>
  </si>
  <si>
    <t>GROSS YIELD (Before Broker):</t>
  </si>
  <si>
    <t>A/R YIELD (Before Broker):</t>
  </si>
  <si>
    <t xml:space="preserve">               -INV. ADVANCE RATE:</t>
  </si>
  <si>
    <t xml:space="preserve">               -TOTAL CREDIT LINE:</t>
  </si>
  <si>
    <t xml:space="preserve">               -INV. SUB LINE:</t>
  </si>
  <si>
    <t xml:space="preserve">               -A/R TURN (DAYS):</t>
  </si>
  <si>
    <t xml:space="preserve">               -A/R ADVANCE RATE:</t>
  </si>
  <si>
    <t xml:space="preserve">               -AVERAGE A/R LOAN:</t>
  </si>
  <si>
    <t xml:space="preserve">               -AVERAGE A/R:</t>
  </si>
  <si>
    <t>GROSS INCOME AND YIELD</t>
  </si>
  <si>
    <t xml:space="preserve">     (Broker Fees are not paid on Facility / Line Fee and Refund Period)</t>
  </si>
  <si>
    <t>AVERAGE A/R LOAN:</t>
  </si>
  <si>
    <t xml:space="preserve">     (Minimum Calculations are Based on A/R only and are Net of Facility / Line Fee and Refund Period)</t>
  </si>
  <si>
    <t>MINIMUM AVERAGE A/R LOAN REQUIRED:</t>
  </si>
  <si>
    <t>MINIMUM AVERAGE A/R REQUIRED:</t>
  </si>
  <si>
    <t>AVERAGE A/R:</t>
  </si>
  <si>
    <t>ANNUAL INCOME &amp; YIELD RANGE</t>
  </si>
  <si>
    <t>TOTAL LOAN:</t>
  </si>
  <si>
    <t>TOTAL INCOME (After Broker):</t>
  </si>
  <si>
    <t>YIELD (After Broker):</t>
  </si>
  <si>
    <t>GROSS INC. (After Broker):</t>
  </si>
  <si>
    <t>TOTAL GROSS INCOME (After Broker):</t>
  </si>
  <si>
    <t>YIELD CALCULATED AS (After Broker):</t>
  </si>
  <si>
    <t xml:space="preserve">     (Charged on Sales)</t>
  </si>
  <si>
    <t xml:space="preserve">     (Charged on A/R Loan)</t>
  </si>
  <si>
    <t xml:space="preserve">     (Charged on A/R Loan over a Period of Time)</t>
  </si>
  <si>
    <t xml:space="preserve">     (Charged on the Total Credit Line)</t>
  </si>
  <si>
    <t xml:space="preserve">     (Charged on Inv. Loan over a Period of Time)</t>
  </si>
  <si>
    <t xml:space="preserve">               -CLEANUP:</t>
  </si>
  <si>
    <t>A/R INFORMATION</t>
  </si>
  <si>
    <t>INV. INFORMATION</t>
  </si>
  <si>
    <t xml:space="preserve">                    (Days per Year Inv. Loan will have $0 O/S)</t>
  </si>
  <si>
    <t xml:space="preserve">               -TOTAL LOAN:</t>
  </si>
  <si>
    <t xml:space="preserve">               -INV. LOAN:</t>
  </si>
  <si>
    <t xml:space="preserve">     (Charged on Inv. Loan)</t>
  </si>
  <si>
    <t>INV. FEES AND OTHER CHARGES</t>
  </si>
  <si>
    <t>TOTAL INV. INCOME (Before Broker):</t>
  </si>
  <si>
    <t>INV. YIELD (Before Broker):</t>
  </si>
  <si>
    <t>ELIGIBLE INV.:</t>
  </si>
  <si>
    <t>INV. LOAN</t>
  </si>
  <si>
    <t xml:space="preserve">                                     </t>
  </si>
  <si>
    <t>Transfac Capital, Inc.</t>
  </si>
  <si>
    <t>W</t>
  </si>
  <si>
    <t xml:space="preserve">BDO NAME:  </t>
  </si>
  <si>
    <t>Synchronicity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</si>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</sst>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164" formatCode="0.000%"/>
    <numFmt numFmtId="165" formatCode="&quot;$&quot;#,##0.00"/>
  </numFmts>
  <fonts count="48" x14ac:knownFonts="1">
    <font>
      <sz val="10"/>
      <name val="Geneva"/>
    </font>
    <font>
      <b/>
      <sz val="10"/>
      <name val="Geneva"/>
    </font>
    <font>
      <sz val="10"/>
      <name val="Geneva"/>
    </font>
    <font>
      <b/>
      <sz val="12"/>
      <name val="Geneva"/>
    </font>
    <font>
      <b/>
      <sz val="14"/>
      <name val="Geneva"/>
    </font>
    <font>
      <sz val="10"/>
      <name val="Geneva"/>
    </font>
    <font>
      <sz val="12"/>
      <name val="Geneva"/>
    </font>
    <font>
      <b/>
      <sz val="16"/>
      <name val="Geneva"/>
    </font>
    <font>
      <b/>
      <sz val="22"/>
      <name val="Geneva"/>
    </font>
    <font>
      <sz val="14"/>
      <name val="Geneva"/>
    </font>
    <font>
      <sz val="22"/>
      <name val="Geneva"/>
    </font>
    <font>
      <sz val="13"/>
      <name val="Geneva"/>
    </font>
    <font>
      <sz val="13"/>
      <color indexed="12"/>
      <name val="Geneva"/>
    </font>
    <font>
      <b/>
      <sz val="13"/>
      <name val="Geneva"/>
    </font>
    <font>
      <b/>
      <sz val="13"/>
      <color indexed="10"/>
      <name val="Geneva"/>
    </font>
    <font>
      <i/>
      <u/>
      <sz val="13"/>
      <name val="Geneva"/>
    </font>
    <font>
      <sz val="10"/>
      <color indexed="23"/>
      <name val="Geneva"/>
    </font>
    <font>
      <b/>
      <sz val="14"/>
      <color indexed="12"/>
      <name val="Geneva"/>
    </font>
    <font>
      <u/>
      <sz val="12"/>
      <name val="Geneva"/>
    </font>
    <font>
      <sz val="12"/>
      <color indexed="12"/>
      <name val="Geneva"/>
    </font>
    <font>
      <b/>
      <sz val="16"/>
      <color indexed="12"/>
      <name val="Geneva"/>
    </font>
    <font>
      <sz val="16"/>
      <name val="Geneva"/>
    </font>
    <font>
      <sz val="12"/>
      <color indexed="10"/>
      <name val="Geneva"/>
    </font>
    <font>
      <b/>
      <sz val="12"/>
      <color indexed="10"/>
      <name val="Geneva"/>
    </font>
    <font>
      <b/>
      <sz val="24"/>
      <name val="Geneva"/>
    </font>
    <font>
      <b/>
      <sz val="18"/>
      <color indexed="12"/>
      <name val="Geneva"/>
    </font>
    <font>
      <b/>
      <sz val="20"/>
      <color indexed="12"/>
      <name val="Geneva"/>
    </font>
    <font>
      <u/>
      <sz val="11.5"/>
      <name val="Geneva"/>
    </font>
    <font>
      <sz val="9"/>
      <name val="Geneva"/>
    </font>
    <font>
      <b/>
      <sz val="9"/>
      <name val="Geneva"/>
    </font>
    <font>
      <b/>
      <u/>
      <sz val="14"/>
      <name val="Geneva"/>
    </font>
    <font>
      <b/>
      <sz val="18"/>
      <name val="Geneva"/>
    </font>
    <font>
      <sz val="8"/>
      <color indexed="81"/>
      <name val="Tahoma"/>
      <family val="2"/>
    </font>
    <font>
      <sz val="10"/>
      <color indexed="12"/>
      <name val="Geneva"/>
    </font>
    <font>
      <sz val="10"/>
      <color indexed="81"/>
      <name val="Tahoma"/>
      <family val="2"/>
    </font>
    <font>
      <b/>
      <u/>
      <sz val="12"/>
      <name val="Geneva"/>
    </font>
    <font>
      <b/>
      <u/>
      <sz val="16"/>
      <name val="Geneva"/>
    </font>
    <font>
      <b/>
      <sz val="12"/>
      <color indexed="17"/>
      <name val="Geneva"/>
    </font>
    <font>
      <u/>
      <sz val="11"/>
      <name val="Geneva"/>
    </font>
    <font>
      <sz val="11"/>
      <name val="Geneva"/>
    </font>
    <font>
      <b/>
      <sz val="11"/>
      <name val="Geneva"/>
    </font>
    <font>
      <sz val="10"/>
      <name val="Geneva"/>
    </font>
    <font>
      <i/>
      <sz val="11"/>
      <name val="Geneva"/>
    </font>
    <font>
      <sz val="11"/>
      <color indexed="12"/>
      <name val="Geneva"/>
    </font>
    <font>
      <b/>
      <sz val="9"/>
      <color indexed="10"/>
      <name val="Geneva"/>
    </font>
    <font>
      <sz val="14"/>
      <color indexed="12"/>
      <name val="Geneva"/>
    </font>
    <font>
      <b/>
      <u/>
      <sz val="11"/>
      <name val="Geneva"/>
    </font>
    <font>
      <b/>
      <u/>
      <sz val="24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1">
    <xf numFmtId="0" fontId="0" fillId="0" borderId="0" xfId="0"/>
    <xf numFmtId="14" fontId="25" fillId="2" borderId="0" xfId="0" applyNumberFormat="1" applyFont="1" applyFill="1" applyAlignment="1" applyProtection="1">
      <alignment horizontal="centerContinuous"/>
      <protection hidden="1"/>
    </xf>
    <xf numFmtId="0" fontId="5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24" fillId="2" borderId="0" xfId="0" applyFont="1" applyFill="1" applyAlignment="1" applyProtection="1">
      <alignment horizontal="centerContinuous"/>
      <protection hidden="1"/>
    </xf>
    <xf numFmtId="0" fontId="10" fillId="2" borderId="0" xfId="0" applyFont="1" applyFill="1" applyAlignment="1" applyProtection="1">
      <alignment horizontal="centerContinuous"/>
      <protection hidden="1"/>
    </xf>
    <xf numFmtId="0" fontId="8" fillId="2" borderId="0" xfId="0" applyFont="1" applyFill="1" applyAlignment="1" applyProtection="1">
      <alignment horizontal="centerContinuous"/>
      <protection hidden="1"/>
    </xf>
    <xf numFmtId="0" fontId="26" fillId="2" borderId="0" xfId="0" applyFont="1" applyFill="1" applyAlignment="1" applyProtection="1">
      <alignment horizontal="left"/>
      <protection hidden="1"/>
    </xf>
    <xf numFmtId="0" fontId="26" fillId="2" borderId="0" xfId="0" applyFont="1" applyFill="1" applyAlignment="1" applyProtection="1">
      <alignment horizontal="centerContinuous"/>
      <protection hidden="1"/>
    </xf>
    <xf numFmtId="0" fontId="0" fillId="0" borderId="0" xfId="0" applyProtection="1">
      <protection hidden="1"/>
    </xf>
    <xf numFmtId="0" fontId="21" fillId="2" borderId="0" xfId="0" applyFont="1" applyFill="1" applyAlignment="1" applyProtection="1">
      <alignment horizontal="centerContinuous"/>
      <protection hidden="1"/>
    </xf>
    <xf numFmtId="0" fontId="21" fillId="2" borderId="0" xfId="0" applyFont="1" applyFill="1" applyProtection="1">
      <protection hidden="1"/>
    </xf>
    <xf numFmtId="14" fontId="20" fillId="2" borderId="0" xfId="0" applyNumberFormat="1" applyFont="1" applyFill="1" applyAlignment="1" applyProtection="1">
      <alignment horizontal="centerContinuous"/>
      <protection hidden="1"/>
    </xf>
    <xf numFmtId="14" fontId="31" fillId="2" borderId="0" xfId="0" applyNumberFormat="1" applyFont="1" applyFill="1" applyAlignment="1" applyProtection="1">
      <alignment horizontal="right"/>
      <protection hidden="1"/>
    </xf>
    <xf numFmtId="14" fontId="25" fillId="2" borderId="0" xfId="0" applyNumberFormat="1" applyFont="1" applyFill="1" applyAlignment="1" applyProtection="1">
      <alignment horizontal="left"/>
      <protection hidden="1"/>
    </xf>
    <xf numFmtId="14" fontId="37" fillId="2" borderId="0" xfId="0" applyNumberFormat="1" applyFont="1" applyFill="1" applyAlignment="1" applyProtection="1">
      <protection hidden="1"/>
    </xf>
    <xf numFmtId="0" fontId="2" fillId="2" borderId="0" xfId="0" applyFont="1" applyFill="1" applyProtection="1">
      <protection hidden="1"/>
    </xf>
    <xf numFmtId="10" fontId="35" fillId="2" borderId="1" xfId="0" applyNumberFormat="1" applyFont="1" applyFill="1" applyBorder="1" applyAlignment="1" applyProtection="1">
      <alignment horizontal="left"/>
      <protection hidden="1"/>
    </xf>
    <xf numFmtId="0" fontId="11" fillId="2" borderId="2" xfId="0" applyFont="1" applyFill="1" applyBorder="1" applyProtection="1">
      <protection hidden="1"/>
    </xf>
    <xf numFmtId="1" fontId="19" fillId="2" borderId="2" xfId="0" applyNumberFormat="1" applyFont="1" applyFill="1" applyBorder="1" applyAlignment="1" applyProtection="1">
      <alignment horizontal="center"/>
      <protection hidden="1"/>
    </xf>
    <xf numFmtId="0" fontId="23" fillId="2" borderId="2" xfId="0" applyFont="1" applyFill="1" applyBorder="1" applyAlignment="1" applyProtection="1">
      <alignment horizontal="center"/>
      <protection hidden="1"/>
    </xf>
    <xf numFmtId="0" fontId="22" fillId="2" borderId="2" xfId="0" applyFont="1" applyFill="1" applyBorder="1" applyAlignment="1" applyProtection="1">
      <alignment horizontal="centerContinuous"/>
      <protection hidden="1"/>
    </xf>
    <xf numFmtId="6" fontId="13" fillId="2" borderId="3" xfId="0" applyNumberFormat="1" applyFont="1" applyFill="1" applyBorder="1" applyAlignment="1" applyProtection="1">
      <alignment horizontal="right"/>
      <protection hidden="1"/>
    </xf>
    <xf numFmtId="10" fontId="23" fillId="2" borderId="0" xfId="0" applyNumberFormat="1" applyFont="1" applyFill="1" applyBorder="1" applyAlignment="1" applyProtection="1">
      <alignment horizontal="left"/>
      <protection hidden="1"/>
    </xf>
    <xf numFmtId="10" fontId="36" fillId="2" borderId="4" xfId="0" applyNumberFormat="1" applyFont="1" applyFill="1" applyBorder="1" applyAlignment="1" applyProtection="1">
      <alignment horizontal="left"/>
      <protection hidden="1"/>
    </xf>
    <xf numFmtId="0" fontId="23" fillId="2" borderId="0" xfId="0" applyNumberFormat="1" applyFont="1" applyFill="1" applyBorder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164" fontId="19" fillId="2" borderId="0" xfId="0" quotePrefix="1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22" fillId="2" borderId="0" xfId="0" applyFont="1" applyFill="1" applyBorder="1" applyAlignment="1" applyProtection="1">
      <alignment horizontal="centerContinuous"/>
      <protection hidden="1"/>
    </xf>
    <xf numFmtId="6" fontId="13" fillId="2" borderId="4" xfId="0" applyNumberFormat="1" applyFont="1" applyFill="1" applyBorder="1" applyAlignment="1" applyProtection="1">
      <alignment horizontal="right"/>
      <protection hidden="1"/>
    </xf>
    <xf numFmtId="0" fontId="3" fillId="2" borderId="5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10" fontId="19" fillId="2" borderId="0" xfId="0" applyNumberFormat="1" applyFont="1" applyFill="1" applyBorder="1" applyAlignment="1" applyProtection="1">
      <alignment horizontal="right"/>
      <protection locked="0" hidden="1"/>
    </xf>
    <xf numFmtId="0" fontId="3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5" fontId="19" fillId="2" borderId="0" xfId="0" applyNumberFormat="1" applyFont="1" applyFill="1" applyBorder="1" applyAlignment="1" applyProtection="1">
      <alignment horizontal="right"/>
      <protection locked="0" hidden="1"/>
    </xf>
    <xf numFmtId="0" fontId="2" fillId="2" borderId="4" xfId="0" applyFont="1" applyFill="1" applyBorder="1" applyProtection="1">
      <protection hidden="1"/>
    </xf>
    <xf numFmtId="0" fontId="11" fillId="2" borderId="5" xfId="0" applyFont="1" applyFill="1" applyBorder="1" applyProtection="1">
      <protection hidden="1"/>
    </xf>
    <xf numFmtId="0" fontId="2" fillId="2" borderId="0" xfId="0" applyFont="1" applyFill="1" applyAlignment="1" applyProtection="1">
      <alignment horizontal="right"/>
      <protection hidden="1"/>
    </xf>
    <xf numFmtId="6" fontId="6" fillId="2" borderId="0" xfId="0" applyNumberFormat="1" applyFont="1" applyFill="1" applyBorder="1" applyAlignment="1" applyProtection="1">
      <alignment horizontal="right"/>
      <protection hidden="1"/>
    </xf>
    <xf numFmtId="0" fontId="41" fillId="2" borderId="0" xfId="0" applyFont="1" applyFill="1" applyAlignment="1" applyProtection="1">
      <alignment horizontal="right"/>
      <protection hidden="1"/>
    </xf>
    <xf numFmtId="6" fontId="6" fillId="2" borderId="0" xfId="0" applyNumberFormat="1" applyFont="1" applyFill="1" applyAlignment="1" applyProtection="1">
      <alignment horizontal="right"/>
      <protection hidden="1"/>
    </xf>
    <xf numFmtId="0" fontId="11" fillId="2" borderId="0" xfId="0" applyFont="1" applyFill="1" applyBorder="1" applyAlignment="1" applyProtection="1">
      <alignment horizontal="right"/>
      <protection hidden="1"/>
    </xf>
    <xf numFmtId="5" fontId="2" fillId="2" borderId="0" xfId="0" applyNumberFormat="1" applyFont="1" applyFill="1" applyProtection="1">
      <protection hidden="1"/>
    </xf>
    <xf numFmtId="5" fontId="2" fillId="2" borderId="4" xfId="0" applyNumberFormat="1" applyFont="1" applyFill="1" applyBorder="1" applyProtection="1">
      <protection hidden="1"/>
    </xf>
    <xf numFmtId="5" fontId="19" fillId="2" borderId="0" xfId="0" applyNumberFormat="1" applyFont="1" applyFill="1" applyBorder="1" applyAlignment="1" applyProtection="1">
      <alignment horizontal="right"/>
      <protection hidden="1"/>
    </xf>
    <xf numFmtId="5" fontId="2" fillId="2" borderId="0" xfId="0" applyNumberFormat="1" applyFont="1" applyFill="1" applyAlignment="1" applyProtection="1">
      <alignment horizontal="right"/>
      <protection hidden="1"/>
    </xf>
    <xf numFmtId="1" fontId="19" fillId="2" borderId="0" xfId="0" applyNumberFormat="1" applyFont="1" applyFill="1" applyBorder="1" applyAlignment="1" applyProtection="1">
      <alignment horizontal="right"/>
      <protection locked="0" hidden="1"/>
    </xf>
    <xf numFmtId="5" fontId="6" fillId="2" borderId="0" xfId="0" applyNumberFormat="1" applyFont="1" applyFill="1" applyBorder="1" applyAlignment="1" applyProtection="1">
      <alignment horizontal="right"/>
      <protection hidden="1"/>
    </xf>
    <xf numFmtId="1" fontId="19" fillId="2" borderId="0" xfId="0" applyNumberFormat="1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Continuous"/>
      <protection hidden="1"/>
    </xf>
    <xf numFmtId="5" fontId="19" fillId="2" borderId="4" xfId="0" applyNumberFormat="1" applyFont="1" applyFill="1" applyBorder="1" applyAlignment="1" applyProtection="1">
      <alignment horizontal="right"/>
      <protection hidden="1"/>
    </xf>
    <xf numFmtId="0" fontId="36" fillId="2" borderId="5" xfId="0" applyFont="1" applyFill="1" applyBorder="1" applyAlignment="1" applyProtection="1">
      <alignment horizontal="left"/>
      <protection hidden="1"/>
    </xf>
    <xf numFmtId="0" fontId="36" fillId="2" borderId="0" xfId="0" applyFont="1" applyFill="1" applyBorder="1" applyAlignment="1" applyProtection="1">
      <alignment horizontal="left"/>
      <protection hidden="1"/>
    </xf>
    <xf numFmtId="0" fontId="36" fillId="2" borderId="4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right"/>
      <protection hidden="1"/>
    </xf>
    <xf numFmtId="0" fontId="6" fillId="2" borderId="0" xfId="0" applyFont="1" applyFill="1" applyBorder="1" applyAlignment="1" applyProtection="1">
      <alignment horizontal="right"/>
      <protection hidden="1"/>
    </xf>
    <xf numFmtId="0" fontId="33" fillId="2" borderId="0" xfId="0" applyFont="1" applyFill="1" applyBorder="1" applyAlignment="1" applyProtection="1">
      <alignment horizontal="left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Border="1" applyAlignment="1" applyProtection="1">
      <alignment horizontal="centerContinuous"/>
      <protection hidden="1"/>
    </xf>
    <xf numFmtId="0" fontId="1" fillId="2" borderId="4" xfId="0" applyFont="1" applyFill="1" applyBorder="1" applyAlignment="1" applyProtection="1">
      <alignment horizontal="centerContinuous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0" fontId="15" fillId="2" borderId="0" xfId="0" applyFont="1" applyFill="1" applyBorder="1" applyAlignment="1" applyProtection="1">
      <alignment horizontal="left"/>
      <protection hidden="1"/>
    </xf>
    <xf numFmtId="0" fontId="27" fillId="2" borderId="0" xfId="0" applyFont="1" applyFill="1" applyBorder="1" applyAlignment="1" applyProtection="1">
      <alignment horizontal="center"/>
      <protection hidden="1"/>
    </xf>
    <xf numFmtId="0" fontId="3" fillId="2" borderId="4" xfId="0" applyFont="1" applyFill="1" applyBorder="1" applyAlignment="1" applyProtection="1">
      <alignment horizontal="centerContinuous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42" fillId="2" borderId="5" xfId="0" applyFont="1" applyFill="1" applyBorder="1" applyAlignment="1" applyProtection="1">
      <alignment horizontal="left"/>
      <protection hidden="1"/>
    </xf>
    <xf numFmtId="0" fontId="18" fillId="2" borderId="0" xfId="0" applyFont="1" applyFill="1" applyBorder="1" applyAlignment="1" applyProtection="1">
      <alignment horizontal="center"/>
      <protection hidden="1"/>
    </xf>
    <xf numFmtId="6" fontId="44" fillId="2" borderId="5" xfId="0" applyNumberFormat="1" applyFont="1" applyFill="1" applyBorder="1" applyAlignment="1" applyProtection="1">
      <alignment horizontal="left"/>
      <protection hidden="1"/>
    </xf>
    <xf numFmtId="164" fontId="19" fillId="2" borderId="0" xfId="0" applyNumberFormat="1" applyFont="1" applyFill="1" applyBorder="1" applyAlignment="1" applyProtection="1">
      <alignment horizontal="center"/>
      <protection locked="0" hidden="1"/>
    </xf>
    <xf numFmtId="0" fontId="19" fillId="2" borderId="0" xfId="0" applyFont="1" applyFill="1" applyBorder="1" applyAlignment="1" applyProtection="1">
      <alignment horizontal="center"/>
      <protection locked="0" hidden="1"/>
    </xf>
    <xf numFmtId="6" fontId="6" fillId="2" borderId="4" xfId="0" applyNumberFormat="1" applyFont="1" applyFill="1" applyBorder="1" applyAlignment="1" applyProtection="1">
      <alignment horizontal="right"/>
      <protection hidden="1"/>
    </xf>
    <xf numFmtId="6" fontId="14" fillId="2" borderId="0" xfId="0" applyNumberFormat="1" applyFont="1" applyFill="1" applyBorder="1" applyAlignment="1" applyProtection="1">
      <alignment horizontal="centerContinuous"/>
      <protection hidden="1"/>
    </xf>
    <xf numFmtId="0" fontId="41" fillId="2" borderId="5" xfId="0" applyFont="1" applyFill="1" applyBorder="1" applyProtection="1">
      <protection hidden="1"/>
    </xf>
    <xf numFmtId="164" fontId="12" fillId="2" borderId="0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Protection="1">
      <protection hidden="1"/>
    </xf>
    <xf numFmtId="0" fontId="11" fillId="2" borderId="0" xfId="0" applyNumberFormat="1" applyFont="1" applyFill="1" applyBorder="1" applyAlignment="1" applyProtection="1">
      <alignment horizontal="right"/>
      <protection hidden="1"/>
    </xf>
    <xf numFmtId="10" fontId="3" fillId="2" borderId="5" xfId="0" applyNumberFormat="1" applyFont="1" applyFill="1" applyBorder="1" applyAlignment="1" applyProtection="1">
      <alignment horizontal="left"/>
      <protection hidden="1"/>
    </xf>
    <xf numFmtId="10" fontId="15" fillId="2" borderId="0" xfId="0" applyNumberFormat="1" applyFont="1" applyFill="1" applyBorder="1" applyAlignment="1" applyProtection="1">
      <alignment horizontal="left"/>
      <protection hidden="1"/>
    </xf>
    <xf numFmtId="10" fontId="27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Continuous"/>
      <protection hidden="1"/>
    </xf>
    <xf numFmtId="0" fontId="6" fillId="2" borderId="4" xfId="0" applyFont="1" applyFill="1" applyBorder="1" applyAlignment="1" applyProtection="1">
      <alignment horizontal="centerContinuous"/>
      <protection hidden="1"/>
    </xf>
    <xf numFmtId="10" fontId="6" fillId="2" borderId="0" xfId="0" applyNumberFormat="1" applyFont="1" applyFill="1" applyBorder="1" applyProtection="1">
      <protection hidden="1"/>
    </xf>
    <xf numFmtId="10" fontId="11" fillId="2" borderId="0" xfId="0" applyNumberFormat="1" applyFont="1" applyFill="1" applyBorder="1" applyProtection="1"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Continuous"/>
      <protection hidden="1"/>
    </xf>
    <xf numFmtId="10" fontId="6" fillId="2" borderId="5" xfId="0" applyNumberFormat="1" applyFont="1" applyFill="1" applyBorder="1" applyProtection="1">
      <protection hidden="1"/>
    </xf>
    <xf numFmtId="164" fontId="19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6" fontId="23" fillId="2" borderId="5" xfId="0" applyNumberFormat="1" applyFont="1" applyFill="1" applyBorder="1" applyAlignment="1" applyProtection="1">
      <alignment horizontal="left"/>
      <protection hidden="1"/>
    </xf>
    <xf numFmtId="1" fontId="19" fillId="2" borderId="0" xfId="0" applyNumberFormat="1" applyFont="1" applyFill="1" applyBorder="1" applyAlignment="1" applyProtection="1">
      <alignment horizontal="center"/>
      <protection locked="0" hidden="1"/>
    </xf>
    <xf numFmtId="0" fontId="33" fillId="2" borderId="5" xfId="0" applyFont="1" applyFill="1" applyBorder="1" applyProtection="1">
      <protection hidden="1"/>
    </xf>
    <xf numFmtId="164" fontId="6" fillId="2" borderId="4" xfId="0" applyNumberFormat="1" applyFont="1" applyFill="1" applyBorder="1" applyAlignment="1" applyProtection="1">
      <alignment horizontal="right"/>
      <protection hidden="1"/>
    </xf>
    <xf numFmtId="165" fontId="19" fillId="2" borderId="0" xfId="0" applyNumberFormat="1" applyFont="1" applyFill="1" applyBorder="1" applyAlignment="1" applyProtection="1">
      <alignment horizontal="center"/>
      <protection locked="0" hidden="1"/>
    </xf>
    <xf numFmtId="164" fontId="19" fillId="2" borderId="4" xfId="0" quotePrefix="1" applyNumberFormat="1" applyFont="1" applyFill="1" applyBorder="1" applyAlignment="1" applyProtection="1">
      <alignment horizontal="right"/>
      <protection hidden="1"/>
    </xf>
    <xf numFmtId="6" fontId="3" fillId="2" borderId="4" xfId="0" applyNumberFormat="1" applyFont="1" applyFill="1" applyBorder="1" applyAlignment="1" applyProtection="1">
      <alignment horizontal="right"/>
      <protection hidden="1"/>
    </xf>
    <xf numFmtId="6" fontId="18" fillId="2" borderId="4" xfId="0" applyNumberFormat="1" applyFont="1" applyFill="1" applyBorder="1" applyAlignment="1" applyProtection="1">
      <alignment horizontal="right"/>
      <protection hidden="1"/>
    </xf>
    <xf numFmtId="0" fontId="41" fillId="2" borderId="0" xfId="0" applyFont="1" applyFill="1" applyProtection="1">
      <protection hidden="1"/>
    </xf>
    <xf numFmtId="1" fontId="6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right"/>
      <protection hidden="1"/>
    </xf>
    <xf numFmtId="6" fontId="0" fillId="2" borderId="0" xfId="0" applyNumberFormat="1" applyFill="1" applyProtection="1">
      <protection hidden="1"/>
    </xf>
    <xf numFmtId="10" fontId="3" fillId="2" borderId="4" xfId="0" applyNumberFormat="1" applyFont="1" applyFill="1" applyBorder="1" applyAlignment="1" applyProtection="1">
      <alignment horizontal="right"/>
      <protection hidden="1"/>
    </xf>
    <xf numFmtId="6" fontId="23" fillId="2" borderId="0" xfId="0" applyNumberFormat="1" applyFont="1" applyFill="1" applyBorder="1" applyAlignment="1" applyProtection="1">
      <alignment horizontal="left"/>
      <protection hidden="1"/>
    </xf>
    <xf numFmtId="0" fontId="7" fillId="2" borderId="5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4" xfId="0" applyFont="1" applyFill="1" applyBorder="1" applyAlignment="1" applyProtection="1">
      <alignment horizontal="center"/>
      <protection hidden="1"/>
    </xf>
    <xf numFmtId="0" fontId="14" fillId="2" borderId="0" xfId="0" applyFont="1" applyFill="1" applyBorder="1" applyAlignment="1" applyProtection="1">
      <alignment horizontal="centerContinuous"/>
      <protection hidden="1"/>
    </xf>
    <xf numFmtId="10" fontId="27" fillId="2" borderId="0" xfId="0" applyNumberFormat="1" applyFont="1" applyFill="1" applyBorder="1" applyAlignment="1" applyProtection="1">
      <alignment horizontal="left"/>
      <protection hidden="1"/>
    </xf>
    <xf numFmtId="10" fontId="27" fillId="2" borderId="4" xfId="0" applyNumberFormat="1" applyFont="1" applyFill="1" applyBorder="1" applyAlignment="1" applyProtection="1">
      <alignment horizontal="right"/>
      <protection hidden="1"/>
    </xf>
    <xf numFmtId="10" fontId="19" fillId="2" borderId="0" xfId="0" applyNumberFormat="1" applyFont="1" applyFill="1" applyBorder="1" applyAlignment="1" applyProtection="1">
      <alignment horizontal="center"/>
      <protection locked="0" hidden="1"/>
    </xf>
    <xf numFmtId="10" fontId="19" fillId="2" borderId="0" xfId="0" applyNumberFormat="1" applyFont="1" applyFill="1" applyBorder="1" applyAlignment="1" applyProtection="1">
      <alignment horizontal="center"/>
      <protection hidden="1"/>
    </xf>
    <xf numFmtId="165" fontId="19" fillId="2" borderId="0" xfId="0" applyNumberFormat="1" applyFont="1" applyFill="1" applyBorder="1" applyAlignment="1" applyProtection="1">
      <alignment horizontal="center"/>
      <protection hidden="1"/>
    </xf>
    <xf numFmtId="165" fontId="45" fillId="2" borderId="0" xfId="0" applyNumberFormat="1" applyFont="1" applyFill="1" applyBorder="1" applyAlignment="1" applyProtection="1">
      <alignment horizontal="center"/>
      <protection hidden="1"/>
    </xf>
    <xf numFmtId="1" fontId="45" fillId="2" borderId="0" xfId="0" applyNumberFormat="1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6" fontId="4" fillId="2" borderId="4" xfId="0" applyNumberFormat="1" applyFont="1" applyFill="1" applyBorder="1" applyAlignment="1" applyProtection="1">
      <alignment horizontal="right"/>
      <protection hidden="1"/>
    </xf>
    <xf numFmtId="10" fontId="4" fillId="2" borderId="4" xfId="0" applyNumberFormat="1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0" fontId="11" fillId="2" borderId="7" xfId="0" applyFont="1" applyFill="1" applyBorder="1" applyProtection="1">
      <protection hidden="1"/>
    </xf>
    <xf numFmtId="0" fontId="33" fillId="2" borderId="7" xfId="0" applyFont="1" applyFill="1" applyBorder="1" applyAlignment="1" applyProtection="1">
      <alignment horizontal="left"/>
      <protection hidden="1"/>
    </xf>
    <xf numFmtId="0" fontId="5" fillId="2" borderId="7" xfId="0" applyFont="1" applyFill="1" applyBorder="1" applyProtection="1">
      <protection hidden="1"/>
    </xf>
    <xf numFmtId="0" fontId="5" fillId="2" borderId="7" xfId="0" applyFont="1" applyFill="1" applyBorder="1" applyAlignment="1" applyProtection="1">
      <alignment horizontal="centerContinuous"/>
      <protection hidden="1"/>
    </xf>
    <xf numFmtId="6" fontId="11" fillId="2" borderId="8" xfId="0" applyNumberFormat="1" applyFont="1" applyFill="1" applyBorder="1" applyAlignment="1" applyProtection="1">
      <alignment horizontal="right"/>
      <protection hidden="1"/>
    </xf>
    <xf numFmtId="6" fontId="5" fillId="2" borderId="0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5" fillId="2" borderId="2" xfId="0" applyFont="1" applyFill="1" applyBorder="1" applyProtection="1">
      <protection hidden="1"/>
    </xf>
    <xf numFmtId="6" fontId="5" fillId="2" borderId="3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Continuous"/>
      <protection hidden="1"/>
    </xf>
    <xf numFmtId="0" fontId="36" fillId="2" borderId="4" xfId="0" applyFont="1" applyFill="1" applyBorder="1" applyAlignment="1" applyProtection="1">
      <alignment horizontal="left"/>
      <protection hidden="1"/>
    </xf>
    <xf numFmtId="0" fontId="11" fillId="2" borderId="5" xfId="0" applyFont="1" applyFill="1" applyBorder="1" applyAlignment="1" applyProtection="1">
      <alignment horizontal="left"/>
      <protection hidden="1"/>
    </xf>
    <xf numFmtId="0" fontId="11" fillId="2" borderId="0" xfId="0" applyFont="1" applyFill="1" applyBorder="1" applyAlignment="1" applyProtection="1">
      <alignment horizontal="centerContinuous"/>
      <protection hidden="1"/>
    </xf>
    <xf numFmtId="0" fontId="11" fillId="2" borderId="5" xfId="0" quotePrefix="1" applyFont="1" applyFill="1" applyBorder="1" applyAlignment="1" applyProtection="1">
      <alignment horizontal="left"/>
      <protection hidden="1"/>
    </xf>
    <xf numFmtId="0" fontId="11" fillId="2" borderId="0" xfId="0" quotePrefix="1" applyFont="1" applyFill="1" applyBorder="1" applyAlignment="1" applyProtection="1">
      <alignment horizontal="centerContinuous"/>
      <protection hidden="1"/>
    </xf>
    <xf numFmtId="0" fontId="6" fillId="2" borderId="0" xfId="0" quotePrefix="1" applyFont="1" applyFill="1" applyBorder="1" applyAlignment="1" applyProtection="1">
      <alignment horizontal="right"/>
      <protection hidden="1"/>
    </xf>
    <xf numFmtId="0" fontId="38" fillId="2" borderId="0" xfId="0" applyFont="1" applyFill="1" applyBorder="1" applyAlignment="1" applyProtection="1">
      <alignment horizontal="center"/>
      <protection hidden="1"/>
    </xf>
    <xf numFmtId="0" fontId="30" fillId="2" borderId="0" xfId="0" applyFont="1" applyFill="1" applyBorder="1" applyAlignment="1" applyProtection="1">
      <alignment horizontal="center"/>
      <protection hidden="1"/>
    </xf>
    <xf numFmtId="0" fontId="38" fillId="2" borderId="4" xfId="0" applyFont="1" applyFill="1" applyBorder="1" applyAlignment="1" applyProtection="1">
      <alignment horizontal="center"/>
      <protection hidden="1"/>
    </xf>
    <xf numFmtId="0" fontId="3" fillId="2" borderId="5" xfId="0" quotePrefix="1" applyFont="1" applyFill="1" applyBorder="1" applyAlignment="1" applyProtection="1">
      <alignment horizontal="left"/>
      <protection hidden="1"/>
    </xf>
    <xf numFmtId="0" fontId="6" fillId="2" borderId="0" xfId="0" quotePrefix="1" applyFont="1" applyFill="1" applyBorder="1" applyAlignment="1" applyProtection="1">
      <alignment horizontal="centerContinuous"/>
      <protection hidden="1"/>
    </xf>
    <xf numFmtId="6" fontId="39" fillId="2" borderId="0" xfId="0" applyNumberFormat="1" applyFont="1" applyFill="1" applyBorder="1" applyAlignment="1" applyProtection="1">
      <alignment horizontal="right"/>
      <protection hidden="1"/>
    </xf>
    <xf numFmtId="6" fontId="40" fillId="2" borderId="0" xfId="0" applyNumberFormat="1" applyFont="1" applyFill="1" applyBorder="1" applyAlignment="1" applyProtection="1">
      <alignment horizontal="right"/>
      <protection hidden="1"/>
    </xf>
    <xf numFmtId="6" fontId="39" fillId="2" borderId="4" xfId="0" applyNumberFormat="1" applyFont="1" applyFill="1" applyBorder="1" applyAlignment="1" applyProtection="1">
      <alignment horizontal="right"/>
      <protection hidden="1"/>
    </xf>
    <xf numFmtId="6" fontId="38" fillId="2" borderId="0" xfId="0" applyNumberFormat="1" applyFont="1" applyFill="1" applyBorder="1" applyAlignment="1" applyProtection="1">
      <alignment horizontal="right"/>
      <protection hidden="1"/>
    </xf>
    <xf numFmtId="6" fontId="46" fillId="2" borderId="0" xfId="0" applyNumberFormat="1" applyFont="1" applyFill="1" applyBorder="1" applyAlignment="1" applyProtection="1">
      <alignment horizontal="right"/>
      <protection hidden="1"/>
    </xf>
    <xf numFmtId="6" fontId="38" fillId="2" borderId="4" xfId="0" applyNumberFormat="1" applyFont="1" applyFill="1" applyBorder="1" applyAlignment="1" applyProtection="1">
      <alignment horizontal="right"/>
      <protection hidden="1"/>
    </xf>
    <xf numFmtId="6" fontId="40" fillId="2" borderId="4" xfId="0" applyNumberFormat="1" applyFont="1" applyFill="1" applyBorder="1" applyAlignment="1" applyProtection="1">
      <alignment horizontal="right"/>
      <protection hidden="1"/>
    </xf>
    <xf numFmtId="0" fontId="3" fillId="2" borderId="0" xfId="0" quotePrefix="1" applyFont="1" applyFill="1" applyBorder="1" applyAlignment="1" applyProtection="1">
      <alignment horizontal="right"/>
      <protection hidden="1"/>
    </xf>
    <xf numFmtId="10" fontId="39" fillId="2" borderId="0" xfId="0" applyNumberFormat="1" applyFont="1" applyFill="1" applyBorder="1" applyAlignment="1" applyProtection="1">
      <alignment horizontal="right"/>
      <protection hidden="1"/>
    </xf>
    <xf numFmtId="10" fontId="40" fillId="2" borderId="0" xfId="0" applyNumberFormat="1" applyFont="1" applyFill="1" applyBorder="1" applyAlignment="1" applyProtection="1">
      <alignment horizontal="right"/>
      <protection hidden="1"/>
    </xf>
    <xf numFmtId="10" fontId="39" fillId="2" borderId="4" xfId="0" applyNumberFormat="1" applyFont="1" applyFill="1" applyBorder="1" applyAlignment="1" applyProtection="1">
      <alignment horizontal="right"/>
      <protection hidden="1"/>
    </xf>
    <xf numFmtId="0" fontId="13" fillId="2" borderId="6" xfId="0" applyFont="1" applyFill="1" applyBorder="1" applyAlignment="1" applyProtection="1">
      <alignment horizontal="left"/>
      <protection hidden="1"/>
    </xf>
    <xf numFmtId="0" fontId="11" fillId="2" borderId="7" xfId="0" applyFont="1" applyFill="1" applyBorder="1" applyAlignment="1" applyProtection="1">
      <alignment horizontal="centerContinuous"/>
      <protection hidden="1"/>
    </xf>
    <xf numFmtId="0" fontId="13" fillId="2" borderId="7" xfId="0" applyFont="1" applyFill="1" applyBorder="1" applyAlignment="1" applyProtection="1">
      <alignment horizontal="right"/>
      <protection hidden="1"/>
    </xf>
    <xf numFmtId="10" fontId="11" fillId="2" borderId="7" xfId="0" applyNumberFormat="1" applyFont="1" applyFill="1" applyBorder="1" applyAlignment="1" applyProtection="1">
      <alignment horizontal="center"/>
      <protection hidden="1"/>
    </xf>
    <xf numFmtId="10" fontId="13" fillId="2" borderId="7" xfId="0" applyNumberFormat="1" applyFont="1" applyFill="1" applyBorder="1" applyAlignment="1" applyProtection="1">
      <alignment horizontal="center"/>
      <protection hidden="1"/>
    </xf>
    <xf numFmtId="10" fontId="11" fillId="2" borderId="8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Border="1" applyAlignment="1" applyProtection="1">
      <alignment horizontal="left"/>
      <protection hidden="1"/>
    </xf>
    <xf numFmtId="0" fontId="13" fillId="2" borderId="0" xfId="0" applyFont="1" applyFill="1" applyBorder="1" applyAlignment="1" applyProtection="1">
      <alignment horizontal="right"/>
      <protection hidden="1"/>
    </xf>
    <xf numFmtId="10" fontId="11" fillId="2" borderId="0" xfId="0" applyNumberFormat="1" applyFont="1" applyFill="1" applyBorder="1" applyAlignment="1" applyProtection="1">
      <alignment horizontal="center"/>
      <protection hidden="1"/>
    </xf>
    <xf numFmtId="10" fontId="13" fillId="2" borderId="0" xfId="0" applyNumberFormat="1" applyFont="1" applyFill="1" applyBorder="1" applyAlignment="1" applyProtection="1">
      <alignment horizontal="center"/>
      <protection hidden="1"/>
    </xf>
    <xf numFmtId="0" fontId="13" fillId="2" borderId="1" xfId="0" applyFont="1" applyFill="1" applyBorder="1" applyAlignment="1" applyProtection="1">
      <alignment horizontal="left"/>
      <protection hidden="1"/>
    </xf>
    <xf numFmtId="0" fontId="11" fillId="2" borderId="2" xfId="0" applyFont="1" applyFill="1" applyBorder="1" applyAlignment="1" applyProtection="1">
      <alignment horizontal="centerContinuous"/>
      <protection hidden="1"/>
    </xf>
    <xf numFmtId="0" fontId="13" fillId="2" borderId="2" xfId="0" applyFont="1" applyFill="1" applyBorder="1" applyAlignment="1" applyProtection="1">
      <alignment horizontal="right"/>
      <protection hidden="1"/>
    </xf>
    <xf numFmtId="10" fontId="11" fillId="2" borderId="2" xfId="0" applyNumberFormat="1" applyFont="1" applyFill="1" applyBorder="1" applyAlignment="1" applyProtection="1">
      <alignment horizontal="center"/>
      <protection hidden="1"/>
    </xf>
    <xf numFmtId="10" fontId="13" fillId="2" borderId="2" xfId="0" applyNumberFormat="1" applyFont="1" applyFill="1" applyBorder="1" applyAlignment="1" applyProtection="1">
      <alignment horizontal="center"/>
      <protection hidden="1"/>
    </xf>
    <xf numFmtId="10" fontId="11" fillId="2" borderId="3" xfId="0" applyNumberFormat="1" applyFont="1" applyFill="1" applyBorder="1" applyAlignment="1" applyProtection="1">
      <alignment horizontal="center"/>
      <protection hidden="1"/>
    </xf>
    <xf numFmtId="6" fontId="23" fillId="2" borderId="4" xfId="0" applyNumberFormat="1" applyFont="1" applyFill="1" applyBorder="1" applyAlignment="1" applyProtection="1">
      <alignment horizontal="left"/>
      <protection hidden="1"/>
    </xf>
    <xf numFmtId="0" fontId="7" fillId="2" borderId="5" xfId="0" applyFont="1" applyFill="1" applyBorder="1" applyAlignment="1" applyProtection="1">
      <alignment horizontal="left"/>
      <protection hidden="1"/>
    </xf>
    <xf numFmtId="0" fontId="7" fillId="2" borderId="0" xfId="0" applyFont="1" applyFill="1" applyBorder="1" applyAlignment="1" applyProtection="1">
      <alignment horizontal="left"/>
      <protection hidden="1"/>
    </xf>
    <xf numFmtId="10" fontId="4" fillId="2" borderId="0" xfId="0" applyNumberFormat="1" applyFont="1" applyFill="1" applyBorder="1" applyAlignment="1" applyProtection="1">
      <alignment horizontal="center"/>
      <protection hidden="1"/>
    </xf>
    <xf numFmtId="0" fontId="9" fillId="2" borderId="0" xfId="0" quotePrefix="1" applyFont="1" applyFill="1" applyBorder="1" applyAlignment="1" applyProtection="1">
      <alignment horizontal="centerContinuous"/>
      <protection hidden="1"/>
    </xf>
    <xf numFmtId="0" fontId="3" fillId="2" borderId="0" xfId="0" applyFont="1" applyFill="1" applyBorder="1" applyAlignment="1" applyProtection="1">
      <alignment horizontal="centerContinuous"/>
      <protection hidden="1"/>
    </xf>
    <xf numFmtId="10" fontId="4" fillId="2" borderId="4" xfId="0" applyNumberFormat="1" applyFont="1" applyFill="1" applyBorder="1" applyAlignment="1" applyProtection="1">
      <alignment horizontal="center"/>
      <protection hidden="1"/>
    </xf>
    <xf numFmtId="10" fontId="17" fillId="2" borderId="5" xfId="0" applyNumberFormat="1" applyFont="1" applyFill="1" applyBorder="1" applyAlignment="1" applyProtection="1">
      <alignment horizontal="center"/>
      <protection hidden="1"/>
    </xf>
    <xf numFmtId="10" fontId="17" fillId="2" borderId="0" xfId="0" applyNumberFormat="1" applyFont="1" applyFill="1" applyBorder="1" applyAlignment="1" applyProtection="1">
      <alignment horizontal="center"/>
      <protection hidden="1"/>
    </xf>
    <xf numFmtId="1" fontId="19" fillId="2" borderId="0" xfId="0" applyNumberFormat="1" applyFont="1" applyFill="1" applyBorder="1" applyAlignment="1" applyProtection="1">
      <alignment horizontal="right"/>
      <protection hidden="1"/>
    </xf>
    <xf numFmtId="10" fontId="23" fillId="2" borderId="0" xfId="0" applyNumberFormat="1" applyFont="1" applyFill="1" applyBorder="1" applyAlignment="1" applyProtection="1">
      <alignment horizontal="centerContinuous"/>
      <protection hidden="1"/>
    </xf>
    <xf numFmtId="6" fontId="11" fillId="2" borderId="4" xfId="0" applyNumberFormat="1" applyFont="1" applyFill="1" applyBorder="1" applyAlignment="1" applyProtection="1">
      <alignment horizontal="right"/>
      <protection hidden="1"/>
    </xf>
    <xf numFmtId="0" fontId="6" fillId="2" borderId="7" xfId="0" applyFont="1" applyFill="1" applyBorder="1" applyAlignment="1" applyProtection="1">
      <alignment horizontal="right"/>
      <protection hidden="1"/>
    </xf>
    <xf numFmtId="6" fontId="13" fillId="2" borderId="8" xfId="0" applyNumberFormat="1" applyFont="1" applyFill="1" applyBorder="1" applyAlignment="1" applyProtection="1">
      <alignment horizontal="right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3" fillId="2" borderId="0" xfId="0" applyFont="1" applyFill="1" applyProtection="1">
      <protection hidden="1"/>
    </xf>
    <xf numFmtId="6" fontId="3" fillId="2" borderId="0" xfId="0" applyNumberFormat="1" applyFont="1" applyFill="1" applyProtection="1">
      <protection hidden="1"/>
    </xf>
    <xf numFmtId="0" fontId="13" fillId="2" borderId="0" xfId="0" applyFont="1" applyFill="1" applyBorder="1" applyAlignment="1" applyProtection="1">
      <alignment horizontal="centerContinuous"/>
      <protection hidden="1"/>
    </xf>
    <xf numFmtId="0" fontId="29" fillId="2" borderId="0" xfId="0" applyFont="1" applyFill="1" applyBorder="1" applyAlignment="1" applyProtection="1">
      <alignment horizontal="centerContinuous"/>
      <protection hidden="1"/>
    </xf>
    <xf numFmtId="6" fontId="29" fillId="2" borderId="0" xfId="0" applyNumberFormat="1" applyFont="1" applyFill="1" applyBorder="1" applyAlignment="1" applyProtection="1">
      <alignment horizontal="centerContinuous"/>
      <protection hidden="1"/>
    </xf>
    <xf numFmtId="0" fontId="28" fillId="2" borderId="0" xfId="0" applyFont="1" applyFill="1" applyBorder="1" applyProtection="1">
      <protection hidden="1"/>
    </xf>
    <xf numFmtId="0" fontId="18" fillId="2" borderId="9" xfId="0" applyFont="1" applyFill="1" applyBorder="1" applyAlignment="1" applyProtection="1">
      <alignment horizontal="left"/>
      <protection hidden="1"/>
    </xf>
    <xf numFmtId="0" fontId="13" fillId="2" borderId="10" xfId="0" applyFont="1" applyFill="1" applyBorder="1" applyAlignment="1" applyProtection="1">
      <alignment horizontal="centerContinuous"/>
      <protection hidden="1"/>
    </xf>
    <xf numFmtId="0" fontId="29" fillId="2" borderId="10" xfId="0" applyFont="1" applyFill="1" applyBorder="1" applyAlignment="1" applyProtection="1">
      <alignment horizontal="centerContinuous"/>
      <protection hidden="1"/>
    </xf>
    <xf numFmtId="6" fontId="29" fillId="2" borderId="11" xfId="0" applyNumberFormat="1" applyFont="1" applyFill="1" applyBorder="1" applyAlignment="1" applyProtection="1">
      <alignment horizontal="centerContinuous"/>
      <protection hidden="1"/>
    </xf>
    <xf numFmtId="0" fontId="28" fillId="2" borderId="12" xfId="0" applyFont="1" applyFill="1" applyBorder="1" applyAlignment="1" applyProtection="1">
      <alignment horizontal="left"/>
      <protection hidden="1"/>
    </xf>
    <xf numFmtId="0" fontId="28" fillId="2" borderId="0" xfId="0" applyFont="1" applyFill="1" applyBorder="1" applyAlignment="1" applyProtection="1">
      <alignment horizontal="left"/>
      <protection hidden="1"/>
    </xf>
    <xf numFmtId="1" fontId="28" fillId="2" borderId="0" xfId="0" applyNumberFormat="1" applyFont="1" applyFill="1" applyBorder="1" applyProtection="1">
      <protection hidden="1"/>
    </xf>
    <xf numFmtId="1" fontId="1" fillId="2" borderId="0" xfId="0" applyNumberFormat="1" applyFont="1" applyFill="1" applyBorder="1" applyAlignment="1" applyProtection="1">
      <alignment horizontal="right"/>
      <protection hidden="1"/>
    </xf>
    <xf numFmtId="1" fontId="28" fillId="2" borderId="13" xfId="0" applyNumberFormat="1" applyFont="1" applyFill="1" applyBorder="1" applyProtection="1">
      <protection hidden="1"/>
    </xf>
    <xf numFmtId="6" fontId="28" fillId="2" borderId="0" xfId="0" applyNumberFormat="1" applyFont="1" applyFill="1" applyBorder="1" applyAlignment="1" applyProtection="1">
      <alignment horizontal="right"/>
      <protection hidden="1"/>
    </xf>
    <xf numFmtId="6" fontId="1" fillId="2" borderId="0" xfId="0" applyNumberFormat="1" applyFont="1" applyFill="1" applyBorder="1" applyAlignment="1" applyProtection="1">
      <alignment horizontal="right"/>
      <protection hidden="1"/>
    </xf>
    <xf numFmtId="6" fontId="28" fillId="2" borderId="13" xfId="0" applyNumberFormat="1" applyFont="1" applyFill="1" applyBorder="1" applyAlignment="1" applyProtection="1">
      <alignment horizontal="right"/>
      <protection hidden="1"/>
    </xf>
    <xf numFmtId="0" fontId="28" fillId="2" borderId="12" xfId="0" applyFont="1" applyFill="1" applyBorder="1" applyProtection="1">
      <protection hidden="1"/>
    </xf>
    <xf numFmtId="6" fontId="29" fillId="2" borderId="0" xfId="0" applyNumberFormat="1" applyFont="1" applyFill="1" applyBorder="1" applyAlignment="1" applyProtection="1">
      <alignment horizontal="right"/>
      <protection hidden="1"/>
    </xf>
    <xf numFmtId="6" fontId="29" fillId="2" borderId="13" xfId="0" applyNumberFormat="1" applyFont="1" applyFill="1" applyBorder="1" applyAlignment="1" applyProtection="1">
      <alignment horizontal="right"/>
      <protection hidden="1"/>
    </xf>
    <xf numFmtId="10" fontId="29" fillId="2" borderId="0" xfId="0" applyNumberFormat="1" applyFont="1" applyFill="1" applyBorder="1" applyAlignment="1" applyProtection="1">
      <alignment horizontal="right"/>
      <protection hidden="1"/>
    </xf>
    <xf numFmtId="10" fontId="1" fillId="2" borderId="0" xfId="0" applyNumberFormat="1" applyFont="1" applyFill="1" applyBorder="1" applyAlignment="1" applyProtection="1">
      <alignment horizontal="right"/>
      <protection hidden="1"/>
    </xf>
    <xf numFmtId="10" fontId="29" fillId="2" borderId="13" xfId="0" applyNumberFormat="1" applyFont="1" applyFill="1" applyBorder="1" applyAlignment="1" applyProtection="1">
      <alignment horizontal="right"/>
      <protection hidden="1"/>
    </xf>
    <xf numFmtId="0" fontId="18" fillId="2" borderId="12" xfId="0" applyFont="1" applyFill="1" applyBorder="1" applyAlignment="1" applyProtection="1">
      <alignment horizontal="left"/>
      <protection hidden="1"/>
    </xf>
    <xf numFmtId="6" fontId="2" fillId="2" borderId="0" xfId="0" applyNumberFormat="1" applyFont="1" applyFill="1" applyBorder="1" applyAlignment="1" applyProtection="1">
      <alignment horizontal="right"/>
      <protection hidden="1"/>
    </xf>
    <xf numFmtId="6" fontId="2" fillId="2" borderId="13" xfId="0" applyNumberFormat="1" applyFont="1" applyFill="1" applyBorder="1" applyAlignment="1" applyProtection="1">
      <alignment horizontal="right"/>
      <protection hidden="1"/>
    </xf>
    <xf numFmtId="10" fontId="1" fillId="2" borderId="13" xfId="0" applyNumberFormat="1" applyFont="1" applyFill="1" applyBorder="1" applyAlignment="1" applyProtection="1">
      <alignment horizontal="right"/>
      <protection hidden="1"/>
    </xf>
    <xf numFmtId="6" fontId="1" fillId="2" borderId="13" xfId="0" applyNumberFormat="1" applyFont="1" applyFill="1" applyBorder="1" applyAlignment="1" applyProtection="1">
      <alignment horizontal="right"/>
      <protection hidden="1"/>
    </xf>
    <xf numFmtId="0" fontId="28" fillId="2" borderId="0" xfId="0" applyFont="1" applyFill="1" applyProtection="1">
      <protection hidden="1"/>
    </xf>
    <xf numFmtId="0" fontId="1" fillId="2" borderId="13" xfId="0" applyNumberFormat="1" applyFont="1" applyFill="1" applyBorder="1" applyAlignment="1" applyProtection="1">
      <alignment horizontal="right"/>
      <protection hidden="1"/>
    </xf>
    <xf numFmtId="3" fontId="28" fillId="2" borderId="0" xfId="0" applyNumberFormat="1" applyFont="1" applyFill="1" applyBorder="1" applyAlignment="1" applyProtection="1">
      <alignment horizontal="right"/>
      <protection hidden="1"/>
    </xf>
    <xf numFmtId="10" fontId="28" fillId="2" borderId="13" xfId="0" applyNumberFormat="1" applyFont="1" applyFill="1" applyBorder="1" applyAlignment="1" applyProtection="1">
      <alignment horizontal="right"/>
      <protection hidden="1"/>
    </xf>
    <xf numFmtId="164" fontId="43" fillId="2" borderId="0" xfId="0" applyNumberFormat="1" applyFont="1" applyFill="1" applyBorder="1" applyAlignment="1" applyProtection="1">
      <alignment horizontal="right"/>
      <protection hidden="1"/>
    </xf>
    <xf numFmtId="6" fontId="3" fillId="2" borderId="13" xfId="0" applyNumberFormat="1" applyFont="1" applyFill="1" applyBorder="1" applyProtection="1">
      <protection hidden="1"/>
    </xf>
    <xf numFmtId="6" fontId="11" fillId="2" borderId="12" xfId="0" applyNumberFormat="1" applyFont="1" applyFill="1" applyBorder="1" applyAlignment="1" applyProtection="1">
      <alignment horizontal="center"/>
      <protection hidden="1"/>
    </xf>
    <xf numFmtId="6" fontId="11" fillId="2" borderId="0" xfId="0" applyNumberFormat="1" applyFont="1" applyFill="1" applyBorder="1" applyAlignment="1" applyProtection="1">
      <alignment horizontal="center"/>
      <protection hidden="1"/>
    </xf>
    <xf numFmtId="6" fontId="11" fillId="2" borderId="0" xfId="0" applyNumberFormat="1" applyFont="1" applyFill="1" applyBorder="1" applyAlignment="1" applyProtection="1">
      <alignment horizontal="right"/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6" fontId="11" fillId="2" borderId="13" xfId="0" applyNumberFormat="1" applyFont="1" applyFill="1" applyBorder="1" applyAlignment="1" applyProtection="1">
      <alignment horizontal="center"/>
      <protection hidden="1"/>
    </xf>
    <xf numFmtId="0" fontId="0" fillId="0" borderId="14" xfId="0" applyBorder="1" applyProtection="1">
      <protection hidden="1"/>
    </xf>
    <xf numFmtId="0" fontId="3" fillId="2" borderId="15" xfId="0" applyFont="1" applyFill="1" applyBorder="1" applyAlignment="1" applyProtection="1">
      <alignment horizontal="centerContinuous"/>
      <protection hidden="1"/>
    </xf>
    <xf numFmtId="6" fontId="11" fillId="2" borderId="15" xfId="0" applyNumberFormat="1" applyFont="1" applyFill="1" applyBorder="1" applyAlignment="1" applyProtection="1">
      <alignment horizontal="left"/>
      <protection hidden="1"/>
    </xf>
    <xf numFmtId="0" fontId="0" fillId="0" borderId="15" xfId="0" applyBorder="1" applyProtection="1">
      <protection hidden="1"/>
    </xf>
    <xf numFmtId="6" fontId="11" fillId="2" borderId="16" xfId="0" applyNumberFormat="1" applyFont="1" applyFill="1" applyBorder="1" applyAlignment="1" applyProtection="1">
      <alignment horizontal="right"/>
      <protection hidden="1"/>
    </xf>
    <xf numFmtId="0" fontId="18" fillId="2" borderId="0" xfId="0" applyFont="1" applyFill="1" applyBorder="1" applyAlignment="1" applyProtection="1">
      <alignment horizontal="centerContinuous"/>
      <protection hidden="1"/>
    </xf>
    <xf numFmtId="0" fontId="39" fillId="2" borderId="0" xfId="0" applyFont="1" applyFill="1" applyBorder="1" applyProtection="1">
      <protection hidden="1"/>
    </xf>
    <xf numFmtId="37" fontId="19" fillId="2" borderId="0" xfId="0" applyNumberFormat="1" applyFont="1" applyFill="1" applyBorder="1" applyAlignment="1" applyProtection="1">
      <alignment horizontal="right"/>
      <protection locked="0" hidden="1"/>
    </xf>
    <xf numFmtId="1" fontId="46" fillId="2" borderId="0" xfId="0" applyNumberFormat="1" applyFont="1" applyFill="1" applyBorder="1" applyAlignment="1" applyProtection="1">
      <alignment horizontal="center"/>
      <protection hidden="1"/>
    </xf>
    <xf numFmtId="1" fontId="38" fillId="2" borderId="0" xfId="0" applyNumberFormat="1" applyFont="1" applyFill="1" applyBorder="1" applyAlignment="1" applyProtection="1">
      <alignment horizontal="center"/>
      <protection hidden="1"/>
    </xf>
    <xf numFmtId="1" fontId="38" fillId="2" borderId="4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right"/>
      <protection hidden="1"/>
    </xf>
    <xf numFmtId="14" fontId="7" fillId="2" borderId="0" xfId="0" applyNumberFormat="1" applyFont="1" applyFill="1" applyAlignment="1" applyProtection="1">
      <alignment horizontal="right"/>
      <protection hidden="1"/>
    </xf>
    <xf numFmtId="0" fontId="20" fillId="2" borderId="0" xfId="0" applyFont="1" applyFill="1" applyAlignment="1" applyProtection="1">
      <alignment horizontal="left"/>
      <protection locked="0" hidden="1"/>
    </xf>
    <xf numFmtId="0" fontId="20" fillId="2" borderId="0" xfId="0" applyFont="1" applyFill="1" applyAlignment="1" applyProtection="1">
      <alignment horizontal="left"/>
      <protection hidden="1"/>
    </xf>
    <xf numFmtId="14" fontId="20" fillId="2" borderId="0" xfId="0" applyNumberFormat="1" applyFont="1" applyFill="1" applyAlignment="1" applyProtection="1">
      <alignment horizontal="left"/>
      <protection hidden="1"/>
    </xf>
    <xf numFmtId="14" fontId="20" fillId="2" borderId="0" xfId="0" applyNumberFormat="1" applyFont="1" applyFill="1" applyAlignment="1" applyProtection="1">
      <alignment horizontal="left"/>
      <protection locked="0" hidden="1"/>
    </xf>
    <xf numFmtId="6" fontId="44" fillId="2" borderId="5" xfId="0" applyNumberFormat="1" applyFont="1" applyFill="1" applyBorder="1" applyAlignment="1" applyProtection="1">
      <alignment horizontal="left"/>
      <protection hidden="1"/>
    </xf>
    <xf numFmtId="6" fontId="44" fillId="2" borderId="0" xfId="0" applyNumberFormat="1" applyFont="1" applyFill="1" applyBorder="1" applyAlignment="1" applyProtection="1">
      <alignment horizontal="left"/>
      <protection hidden="1"/>
    </xf>
    <xf numFmtId="0" fontId="24" fillId="2" borderId="0" xfId="0" applyFont="1" applyFill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horizontal="center"/>
      <protection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7" fillId="2" borderId="2" xfId="0" applyFont="1" applyFill="1" applyBorder="1" applyAlignment="1" applyProtection="1">
      <alignment horizontal="center"/>
      <protection hidden="1"/>
    </xf>
    <xf numFmtId="0" fontId="7" fillId="2" borderId="3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36" fillId="2" borderId="5" xfId="0" applyFont="1" applyFill="1" applyBorder="1" applyAlignment="1" applyProtection="1">
      <alignment horizontal="center"/>
      <protection hidden="1"/>
    </xf>
    <xf numFmtId="0" fontId="36" fillId="2" borderId="0" xfId="0" applyFont="1" applyFill="1" applyBorder="1" applyAlignment="1" applyProtection="1">
      <alignment horizontal="center"/>
      <protection hidden="1"/>
    </xf>
    <xf numFmtId="14" fontId="20" fillId="2" borderId="0" xfId="0" applyNumberFormat="1" applyFont="1" applyFill="1" applyAlignment="1" applyProtection="1">
      <alignment horizontal="left"/>
      <protection locked="0"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159"/>
  <sheetViews>
    <sheetView tabSelected="1" topLeftCell="A9" zoomScale="78" workbookViewId="0">
      <selection activeCell="F16" sqref="F16"/>
    </sheetView>
  </sheetViews>
  <sheetFormatPr baseColWidth="10" defaultColWidth="10.7109375" defaultRowHeight="14" x14ac:dyDescent="0.2"/>
  <cols>
    <col min="1" max="1" width="2.7109375" style="2" customWidth="1"/>
    <col min="2" max="9" width="15.7109375" style="2" customWidth="1"/>
    <col min="10" max="10" width="2.7109375" style="2" customWidth="1"/>
    <col min="11" max="87" width="10.7109375" style="3" customWidth="1"/>
    <col min="88" max="16384" width="10.7109375" style="2"/>
  </cols>
  <sheetData>
    <row r="1" spans="1:87" ht="30" customHeight="1" x14ac:dyDescent="0.4">
      <c r="B1" s="242"/>
      <c r="C1" s="242"/>
      <c r="D1" s="242"/>
      <c r="E1" s="242"/>
      <c r="F1" s="242"/>
      <c r="G1" s="242"/>
      <c r="H1" s="242"/>
      <c r="I1" s="242"/>
    </row>
    <row r="2" spans="1:87" ht="33" x14ac:dyDescent="0.4">
      <c r="A2" s="4"/>
      <c r="B2" s="247" t="s">
        <v>99</v>
      </c>
      <c r="C2" s="247"/>
      <c r="D2" s="247"/>
      <c r="E2" s="247"/>
      <c r="F2" s="247"/>
      <c r="G2" s="247"/>
      <c r="H2" s="247"/>
      <c r="I2" s="247"/>
      <c r="J2" s="5" t="s">
        <v>0</v>
      </c>
    </row>
    <row r="3" spans="1:87" ht="10" customHeight="1" x14ac:dyDescent="0.4">
      <c r="A3" s="4"/>
      <c r="J3" s="5"/>
    </row>
    <row r="4" spans="1:87" ht="10" customHeight="1" x14ac:dyDescent="0.4">
      <c r="A4" s="6"/>
      <c r="B4" s="5"/>
      <c r="C4" s="5"/>
      <c r="D4" s="5"/>
      <c r="E4" s="5"/>
      <c r="F4" s="5"/>
      <c r="G4" s="5"/>
      <c r="H4" s="5"/>
      <c r="I4" s="5"/>
      <c r="J4" s="5"/>
    </row>
    <row r="5" spans="1:87" s="11" customFormat="1" ht="22" customHeight="1" x14ac:dyDescent="0.35">
      <c r="A5" s="7" t="s">
        <v>0</v>
      </c>
      <c r="B5" s="8"/>
      <c r="C5" s="8"/>
      <c r="D5" s="9"/>
      <c r="E5" s="234" t="s">
        <v>1</v>
      </c>
      <c r="F5" s="236" t="s">
        <v>102</v>
      </c>
      <c r="G5" s="10"/>
      <c r="H5" s="10"/>
      <c r="I5" s="10"/>
      <c r="J5" s="10" t="s">
        <v>0</v>
      </c>
    </row>
    <row r="6" spans="1:87" s="11" customFormat="1" ht="22" customHeight="1" x14ac:dyDescent="0.35">
      <c r="A6" s="7"/>
      <c r="B6" s="8"/>
      <c r="C6" s="8"/>
      <c r="D6" s="8"/>
      <c r="E6" s="234"/>
      <c r="F6" s="236" t="s">
        <v>0</v>
      </c>
      <c r="G6" s="10"/>
      <c r="H6" s="10"/>
      <c r="I6" s="10"/>
      <c r="J6" s="10"/>
    </row>
    <row r="7" spans="1:87" s="11" customFormat="1" ht="10" customHeight="1" x14ac:dyDescent="0.35">
      <c r="A7" s="7"/>
      <c r="B7" s="8"/>
      <c r="C7" s="8"/>
      <c r="D7" s="8"/>
      <c r="E7" s="234"/>
      <c r="F7" s="237" t="s">
        <v>0</v>
      </c>
      <c r="G7" s="10"/>
      <c r="H7" s="10"/>
      <c r="I7" s="10"/>
      <c r="J7" s="10"/>
      <c r="M7" s="11" t="s">
        <v>0</v>
      </c>
    </row>
    <row r="8" spans="1:87" s="11" customFormat="1" ht="22" customHeight="1" x14ac:dyDescent="0.35">
      <c r="A8" s="12" t="s">
        <v>0</v>
      </c>
      <c r="B8" s="1"/>
      <c r="C8" s="1"/>
      <c r="D8" s="8"/>
      <c r="E8" s="235" t="s">
        <v>2</v>
      </c>
      <c r="F8" s="250">
        <f ca="1">TODAY()</f>
        <v>41338</v>
      </c>
      <c r="G8" s="250"/>
      <c r="H8" s="10"/>
      <c r="I8" s="10"/>
      <c r="J8" s="10" t="s">
        <v>0</v>
      </c>
    </row>
    <row r="9" spans="1:87" s="11" customFormat="1" ht="10" customHeight="1" x14ac:dyDescent="0.35">
      <c r="A9" s="12"/>
      <c r="B9" s="1"/>
      <c r="C9" s="1"/>
      <c r="D9" s="8"/>
      <c r="E9" s="235"/>
      <c r="F9" s="238"/>
      <c r="G9" s="10"/>
      <c r="H9" s="10"/>
      <c r="I9" s="10"/>
      <c r="J9" s="10"/>
    </row>
    <row r="10" spans="1:87" s="11" customFormat="1" ht="22" customHeight="1" x14ac:dyDescent="0.35">
      <c r="A10" s="12" t="s">
        <v>0</v>
      </c>
      <c r="B10" s="1"/>
      <c r="C10" s="1"/>
      <c r="D10" s="9"/>
      <c r="E10" s="235" t="s">
        <v>101</v>
      </c>
      <c r="F10" s="239" t="s">
        <v>0</v>
      </c>
      <c r="G10" s="10"/>
      <c r="H10" s="10"/>
      <c r="I10" s="10"/>
      <c r="J10" s="10" t="s">
        <v>0</v>
      </c>
      <c r="S10" s="11" t="s">
        <v>103</v>
      </c>
    </row>
    <row r="11" spans="1:87" s="11" customFormat="1" ht="10" customHeight="1" x14ac:dyDescent="0.35">
      <c r="A11" s="12"/>
      <c r="B11" s="1"/>
      <c r="C11" s="1"/>
      <c r="D11" s="13"/>
      <c r="E11" s="13"/>
      <c r="F11" s="14"/>
      <c r="G11" s="10"/>
      <c r="H11" s="10"/>
      <c r="I11" s="10"/>
      <c r="J11" s="10"/>
    </row>
    <row r="12" spans="1:87" s="11" customFormat="1" ht="15" customHeight="1" thickBot="1" x14ac:dyDescent="0.4">
      <c r="B12" s="15" t="s">
        <v>32</v>
      </c>
      <c r="C12" s="1"/>
      <c r="D12" s="13"/>
      <c r="E12" s="13"/>
      <c r="F12" s="14"/>
      <c r="G12" s="10"/>
      <c r="H12" s="10"/>
      <c r="I12" s="10"/>
      <c r="J12" s="10"/>
    </row>
    <row r="13" spans="1:87" s="16" customFormat="1" ht="10" customHeight="1" x14ac:dyDescent="0.2">
      <c r="B13" s="17"/>
      <c r="C13" s="18"/>
      <c r="D13" s="18"/>
      <c r="E13" s="19"/>
      <c r="F13" s="20"/>
      <c r="G13" s="21"/>
      <c r="H13" s="21"/>
      <c r="I13" s="2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s="16" customFormat="1" ht="16.75" customHeight="1" x14ac:dyDescent="0.25">
      <c r="B14" s="248" t="s">
        <v>87</v>
      </c>
      <c r="C14" s="249"/>
      <c r="D14" s="249"/>
      <c r="E14" s="23"/>
      <c r="F14" s="249" t="s">
        <v>88</v>
      </c>
      <c r="G14" s="249"/>
      <c r="H14" s="249"/>
      <c r="I14" s="24"/>
      <c r="K14" s="2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s="16" customFormat="1" ht="16.75" customHeight="1" x14ac:dyDescent="0.2">
      <c r="B15" s="31" t="s">
        <v>61</v>
      </c>
      <c r="C15" s="32"/>
      <c r="D15" s="36">
        <v>50000</v>
      </c>
      <c r="F15" s="34" t="s">
        <v>62</v>
      </c>
      <c r="G15" s="32"/>
      <c r="H15" s="36">
        <v>0</v>
      </c>
      <c r="I15" s="37"/>
      <c r="K15" s="2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s="16" customFormat="1" ht="10" customHeight="1" x14ac:dyDescent="0.2">
      <c r="B16" s="38"/>
      <c r="C16" s="32"/>
      <c r="D16" s="39"/>
      <c r="F16" s="35"/>
      <c r="G16" s="35"/>
      <c r="H16" s="39"/>
      <c r="I16" s="37"/>
      <c r="K16" s="3"/>
      <c r="L16" s="3" t="s">
        <v>98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s="16" customFormat="1" ht="16.75" customHeight="1" x14ac:dyDescent="0.2">
      <c r="B17" s="31" t="s">
        <v>64</v>
      </c>
      <c r="C17" s="32"/>
      <c r="D17" s="33">
        <v>0.85</v>
      </c>
      <c r="F17" s="34" t="s">
        <v>60</v>
      </c>
      <c r="G17" s="32"/>
      <c r="H17" s="33">
        <v>0</v>
      </c>
      <c r="I17" s="3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s="16" customFormat="1" ht="10" customHeight="1" x14ac:dyDescent="0.2">
      <c r="B18" s="38"/>
      <c r="C18" s="32"/>
      <c r="D18" s="39"/>
      <c r="F18" s="26"/>
      <c r="G18" s="26"/>
      <c r="H18" s="41"/>
      <c r="I18" s="3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s="16" customFormat="1" ht="16.75" customHeight="1" x14ac:dyDescent="0.2">
      <c r="B19" s="31" t="s">
        <v>37</v>
      </c>
      <c r="C19" s="35"/>
      <c r="D19" s="36">
        <v>600000</v>
      </c>
      <c r="F19" s="34" t="s">
        <v>86</v>
      </c>
      <c r="G19" s="26"/>
      <c r="H19" s="230">
        <v>0</v>
      </c>
      <c r="I19" s="3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s="16" customFormat="1" ht="12" customHeight="1" x14ac:dyDescent="0.2">
      <c r="B20" s="38"/>
      <c r="C20" s="26"/>
      <c r="D20" s="43"/>
      <c r="E20" s="27"/>
      <c r="F20" s="229" t="s">
        <v>89</v>
      </c>
      <c r="I20" s="3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s="44" customFormat="1" ht="16.75" customHeight="1" x14ac:dyDescent="0.2">
      <c r="B21" s="31" t="s">
        <v>63</v>
      </c>
      <c r="C21" s="26"/>
      <c r="D21" s="48">
        <v>30</v>
      </c>
      <c r="F21" s="34" t="s">
        <v>54</v>
      </c>
      <c r="G21" s="26"/>
      <c r="H21" s="36">
        <v>0</v>
      </c>
      <c r="I21" s="45"/>
      <c r="J21" s="1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s="44" customFormat="1" ht="10" customHeight="1" x14ac:dyDescent="0.2">
      <c r="B22" s="31"/>
      <c r="C22" s="32"/>
      <c r="D22" s="46"/>
      <c r="H22" s="47"/>
      <c r="I22" s="45"/>
      <c r="J22" s="1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s="16" customFormat="1" ht="16.75" customHeight="1" x14ac:dyDescent="0.2">
      <c r="B23" s="31" t="s">
        <v>66</v>
      </c>
      <c r="C23" s="26"/>
      <c r="D23" s="40">
        <f>IF($D$19=0,0,($D$19/(365/$G$122)))</f>
        <v>49315.068493150684</v>
      </c>
      <c r="F23" s="34" t="s">
        <v>91</v>
      </c>
      <c r="G23" s="26"/>
      <c r="H23" s="49">
        <f>$H$21*$H$17</f>
        <v>0</v>
      </c>
      <c r="I23" s="3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s="16" customFormat="1" ht="10" customHeight="1" x14ac:dyDescent="0.2">
      <c r="B24" s="31"/>
      <c r="C24" s="26"/>
      <c r="D24" s="177"/>
      <c r="I24" s="3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s="16" customFormat="1" ht="16.75" customHeight="1" x14ac:dyDescent="0.2">
      <c r="B25" s="31" t="s">
        <v>65</v>
      </c>
      <c r="D25" s="42">
        <f>$G$131</f>
        <v>41917.808219178078</v>
      </c>
      <c r="F25" s="34" t="s">
        <v>90</v>
      </c>
      <c r="G25" s="26"/>
      <c r="H25" s="49">
        <f>$D$25+$H$23</f>
        <v>41917.808219178078</v>
      </c>
      <c r="I25" s="3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s="16" customFormat="1" ht="10" customHeight="1" thickBot="1" x14ac:dyDescent="0.25">
      <c r="B26" s="38"/>
      <c r="C26" s="26"/>
      <c r="D26" s="26"/>
      <c r="E26" s="50"/>
      <c r="F26" s="35"/>
      <c r="G26" s="35"/>
      <c r="H26" s="51"/>
      <c r="I26" s="5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ht="10" customHeight="1" x14ac:dyDescent="0.25">
      <c r="B27" s="244"/>
      <c r="C27" s="245"/>
      <c r="D27" s="245"/>
      <c r="E27" s="245"/>
      <c r="F27" s="245"/>
      <c r="G27" s="245"/>
      <c r="H27" s="245"/>
      <c r="I27" s="246"/>
    </row>
    <row r="28" spans="2:87" ht="16.75" customHeight="1" x14ac:dyDescent="0.25">
      <c r="B28" s="53" t="s">
        <v>47</v>
      </c>
      <c r="C28" s="54"/>
      <c r="D28" s="54"/>
      <c r="E28" s="54"/>
      <c r="F28" s="54"/>
      <c r="G28" s="54"/>
      <c r="H28" s="54"/>
      <c r="I28" s="55"/>
    </row>
    <row r="29" spans="2:87" ht="10" customHeight="1" x14ac:dyDescent="0.2">
      <c r="B29" s="56" t="s">
        <v>0</v>
      </c>
      <c r="C29" s="57"/>
      <c r="D29" s="58"/>
      <c r="E29" s="59"/>
      <c r="F29" s="59"/>
      <c r="G29" s="60"/>
      <c r="H29" s="60"/>
      <c r="I29" s="61"/>
    </row>
    <row r="30" spans="2:87" ht="16.75" customHeight="1" x14ac:dyDescent="0.2">
      <c r="B30" s="62" t="s">
        <v>30</v>
      </c>
      <c r="C30" s="63"/>
      <c r="D30" s="63"/>
      <c r="E30" s="243" t="s">
        <v>4</v>
      </c>
      <c r="F30" s="243"/>
      <c r="G30" s="243" t="s">
        <v>6</v>
      </c>
      <c r="H30" s="243"/>
      <c r="I30" s="65"/>
      <c r="K30" s="66"/>
    </row>
    <row r="31" spans="2:87" ht="16.75" customHeight="1" x14ac:dyDescent="0.2">
      <c r="B31" s="67" t="s">
        <v>81</v>
      </c>
      <c r="C31" s="63"/>
      <c r="D31" s="63"/>
      <c r="E31" s="68" t="s">
        <v>3</v>
      </c>
      <c r="F31" s="68" t="s">
        <v>5</v>
      </c>
      <c r="G31" s="68" t="s">
        <v>3</v>
      </c>
      <c r="H31" s="68" t="s">
        <v>5</v>
      </c>
      <c r="I31" s="65"/>
    </row>
    <row r="32" spans="2:87" ht="16.75" customHeight="1" x14ac:dyDescent="0.2">
      <c r="B32" s="69" t="str">
        <f>IF(OR($E$32&gt;100,$F$32&gt;500,$G$32&gt;100,$H$32&gt;500),"* * ERROR - CHECK COM. RATE * *"," ")</f>
        <v xml:space="preserve"> </v>
      </c>
      <c r="E32" s="70">
        <v>1.4999999999999999E-2</v>
      </c>
      <c r="F32" s="71">
        <v>30</v>
      </c>
      <c r="G32" s="70"/>
      <c r="H32" s="71"/>
      <c r="I32" s="72">
        <f>IF(OR(AND($F$32=0,$G$32=0,$H$32=0),(AND($F$32=" ",$G$32=" ",$H$32=" "))),$E$32*$D$19,IF(OR(AND($G$32=0,$H$32=0),(AND($G$32=" ",$H$32=" "))),ROUNDUP(($D$21/$F$32),0)*$E$32*$D$19,($G$131*$E$32/$D$17*(365/$D$21))+(IF($D$21-$F$32&gt;0,IF(($D$21-$F$32)/$H$32-ROUND(($D$21-$F$32)/$H$32,0)&gt;0.01,ROUND(($D$21-$F$32)/$H$32,0)+1,ROUND(($D$21-$F$32)/$H$32,0)),0)*($G$131/$D$17)*$G$32*365/$D$21)))</f>
        <v>9000</v>
      </c>
      <c r="K32" s="73" t="str">
        <f>IF(AND(OR($I$36=" ", $I$36="N/A", $I$36="n/a",$I$36=0,$I$36=1,$I$36=2,$I$36=3,$I$36=4,$I$36=5,$I$36=6,$I$36=7,$I$36=8,$I$36=9,$I$36=10,$I$36=11,$I$36=12,$I$36=13,$I$36=14,$I$36=15), (OR($I$37="C", $I$37="c", $I$37="B", $I$37="b",))), " ",IF(AND(OR($I$36=1,$I$36=2,$I$36=3,$I$36=4,$I$36=5,$I$36=6,$I$36=7,$I$36=8,$I$36=9,$I$36=10,$I$36=11,$I$36=12,$I$36=13,$I$36=14,$I$36=15), (OR($I$37=0, $I$37=" ", $I$37="n/a", $I$37="N/A"))),"ERROR-COLLECTION DAYS", IF(AND(OR($I$36=" ", $I$36=0, $I$36="N/A", $I$36="n/a"),(OR($I$37=0, $I$37=" ", $I$37="n/a", $I$37="N/A")))," ", "* * ERROR-COLLECTION DAYS * *")))</f>
        <v xml:space="preserve"> </v>
      </c>
    </row>
    <row r="33" spans="1:87" s="16" customFormat="1" ht="10" customHeight="1" x14ac:dyDescent="0.2">
      <c r="A33" s="2"/>
      <c r="B33" s="74"/>
      <c r="E33" s="75"/>
      <c r="I33" s="76"/>
      <c r="K33" s="7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1:87" s="32" customFormat="1" ht="15" customHeight="1" x14ac:dyDescent="0.2">
      <c r="A34" s="16"/>
      <c r="B34" s="78" t="s">
        <v>31</v>
      </c>
      <c r="C34" s="79"/>
      <c r="D34" s="79"/>
      <c r="E34" s="64" t="s">
        <v>7</v>
      </c>
      <c r="F34" s="80" t="s">
        <v>8</v>
      </c>
      <c r="G34" s="80" t="s">
        <v>29</v>
      </c>
      <c r="H34" s="81" t="s">
        <v>0</v>
      </c>
      <c r="I34" s="82"/>
      <c r="J34" s="1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1:87" s="32" customFormat="1" ht="16.75" customHeight="1" x14ac:dyDescent="0.2">
      <c r="A35" s="16"/>
      <c r="B35" s="67" t="s">
        <v>82</v>
      </c>
      <c r="C35" s="83"/>
      <c r="D35" s="84"/>
      <c r="E35" s="70">
        <v>0</v>
      </c>
      <c r="F35" s="70">
        <v>0</v>
      </c>
      <c r="G35" s="85">
        <f>$E$35+$F$35</f>
        <v>0</v>
      </c>
      <c r="H35" s="86"/>
      <c r="I35" s="72">
        <f>IF($G$35=0,0,$G$35*$G$131)</f>
        <v>0</v>
      </c>
      <c r="J35" s="1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1:87" s="32" customFormat="1" ht="10" customHeight="1" x14ac:dyDescent="0.2">
      <c r="A36" s="16"/>
      <c r="B36" s="87"/>
      <c r="C36" s="83"/>
      <c r="D36" s="84"/>
      <c r="E36" s="88"/>
      <c r="F36" s="88"/>
      <c r="G36" s="85"/>
      <c r="H36" s="86"/>
      <c r="I36" s="72"/>
      <c r="J36" s="1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1:87" s="32" customFormat="1" ht="16.75" customHeight="1" x14ac:dyDescent="0.2">
      <c r="A37" s="16"/>
      <c r="B37" s="69" t="str">
        <f>IF(OR($E$35&gt;1,$F$35&gt;1),"* * ERROR - CHECK INT. RATE * *"," ")</f>
        <v xml:space="preserve"> </v>
      </c>
      <c r="C37" s="89"/>
      <c r="D37" s="26"/>
      <c r="E37" s="64" t="s">
        <v>28</v>
      </c>
      <c r="F37" s="35"/>
      <c r="G37" s="64" t="s">
        <v>27</v>
      </c>
      <c r="I37" s="76"/>
      <c r="J37" s="1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1:87" s="32" customFormat="1" ht="16.75" customHeight="1" x14ac:dyDescent="0.2">
      <c r="A38" s="16"/>
      <c r="B38" s="90" t="str">
        <f>IF(AND(OR($E$38=" ", $E$38="N/A", $E$38="n/a",$E$38=0,$E$38=1,$E$38=2,$E$38=3,$E$38=4,$E$38=5,$E$38=6,$E$38=7,$E$38=8,$E$38=9,$E$38=10,$E$38=11,$E$38=12,$E$38=13,$E$38=14,$E$38=15), (OR($G$38="C", $G$38="c", $G$38="B", $G$38="b",))), " ",IF(AND(OR($E$38=1,$E$38=2,$E$38=3,$E$38=4,$E$38=5,$E$38=6,$E$38=7,$E$38=8,$E$38=9,$E$38=10,$E$38=11,$E$38=12,$E$38=13,$E$38=14,$E$38=15), (OR($G$38=0, $G$38=" ", $G$38="n/a", $G$38="N/A"))),"ERROR - COLLECTION DAYS", IF(AND(OR($E$38=" ", $E$38=0, $E$38="N/A", $E$38="n/a"),(OR($G$38=0, $G$38=" ", $G$38="n/a", $G$38="N/A")))," ", "* * ERROR - COLLECTION DAYS * *")))</f>
        <v xml:space="preserve"> </v>
      </c>
      <c r="C38" s="89"/>
      <c r="D38" s="26"/>
      <c r="E38" s="91">
        <v>5</v>
      </c>
      <c r="F38" s="89"/>
      <c r="G38" s="91" t="s">
        <v>46</v>
      </c>
      <c r="I38" s="72">
        <f>IF(AND(OR($E$38=0,$E$38=1,$E$38=2,$E$38=3,$E$38=4,$E$38=5,$E$38=6,$E$38=7,$E$38=8,$E$38=9,$E$38=10,$E$38=11,$E$38=12,$E$38=13,$E$38=14,$E$38=15), (OR($G$38="C", $G$38="c"))), (($D$19*$E$38*$G$35)/365),IF(AND(OR( $E$38=0,$E$38=1,$E$38=2,$E$38=3,$E$38=4,$E$38=5,$E$38=6,$E$38=7,$E$38=8,$E$38=9,$E$38=10,$E$38=11,$E$38=12,$E$38=13,$E$38=14,$E$38=15), (OR($G$38="B", $G$38="b"))), (($D$19*$E$38*$G$35)/250),IF(AND(OR($E$38=0, $E$38=" ", $E$38="n/a", $E$38="N/A"), (OR($G$38="B", $G$38="b",$G$38="C", $G$38="c", $G$38=0,$G$38=" ", $G$38="n/a", $G$38="N/A" ))),0,"#VALUE!")))</f>
        <v>0</v>
      </c>
      <c r="J38" s="1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1:87" s="44" customFormat="1" ht="10" customHeight="1" x14ac:dyDescent="0.2">
      <c r="A39" s="16"/>
      <c r="B39" s="92"/>
      <c r="C39" s="26"/>
      <c r="D39" s="88"/>
      <c r="F39" s="50"/>
      <c r="G39" s="66"/>
      <c r="H39" s="60"/>
      <c r="I39" s="72"/>
      <c r="J39" s="1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1:87" s="44" customFormat="1" ht="16.75" customHeight="1" x14ac:dyDescent="0.2">
      <c r="A40" s="16"/>
      <c r="B40" s="78" t="s">
        <v>25</v>
      </c>
      <c r="C40" s="26"/>
      <c r="D40" s="88"/>
      <c r="E40" s="64" t="s">
        <v>16</v>
      </c>
      <c r="F40" s="80" t="s">
        <v>24</v>
      </c>
      <c r="H40" s="60"/>
      <c r="I40" s="93"/>
      <c r="J40" s="16"/>
      <c r="K40" s="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1:87" s="44" customFormat="1" ht="16.75" customHeight="1" x14ac:dyDescent="0.2">
      <c r="A41" s="16"/>
      <c r="B41" s="67" t="s">
        <v>35</v>
      </c>
      <c r="C41" s="26"/>
      <c r="D41" s="88"/>
      <c r="E41" s="94">
        <v>0</v>
      </c>
      <c r="F41" s="91">
        <v>0</v>
      </c>
      <c r="H41" s="60"/>
      <c r="I41" s="72">
        <f>IF(OR($F$41=5,$F$41=7,$F$41=8,$F$41=9,$F$41=10,$F$41=11,$F$41&gt;12),"#VALUE!",IF($F$41=0,$E$41,(12/$F$41)*$E$41))</f>
        <v>0</v>
      </c>
      <c r="J41" s="1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1:87" s="44" customFormat="1" ht="10" customHeight="1" x14ac:dyDescent="0.2">
      <c r="A42" s="16"/>
      <c r="B42" s="240" t="str">
        <f>IF(OR($F$41=5,$F$41=7,$F$41=8,$F$41=9,$F$41=10,$F$41=11,$F$41&gt;12, $E$41&gt;50000),"* * ERROR - COL. MGT. FEE * *"," ")</f>
        <v xml:space="preserve"> </v>
      </c>
      <c r="C42" s="241"/>
      <c r="D42" s="241"/>
      <c r="E42" s="241"/>
      <c r="F42" s="50"/>
      <c r="H42" s="60"/>
      <c r="I42" s="95"/>
      <c r="J42" s="1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1:87" s="44" customFormat="1" ht="16.75" customHeight="1" x14ac:dyDescent="0.2">
      <c r="A43" s="16"/>
      <c r="B43" s="78" t="s">
        <v>26</v>
      </c>
      <c r="C43" s="26"/>
      <c r="D43" s="88"/>
      <c r="E43" s="64" t="s">
        <v>9</v>
      </c>
      <c r="F43" s="80" t="s">
        <v>24</v>
      </c>
      <c r="G43" s="50"/>
      <c r="H43" s="60"/>
      <c r="I43" s="95"/>
      <c r="J43" s="1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1:87" s="44" customFormat="1" ht="16.75" customHeight="1" x14ac:dyDescent="0.2">
      <c r="A44" s="16"/>
      <c r="B44" s="67" t="s">
        <v>83</v>
      </c>
      <c r="C44" s="26"/>
      <c r="D44" s="88"/>
      <c r="E44" s="70">
        <v>0</v>
      </c>
      <c r="F44" s="91">
        <v>1</v>
      </c>
      <c r="G44" s="50"/>
      <c r="H44" s="60"/>
      <c r="I44" s="72">
        <f>IF($E$44=0,0,IF(OR($F$44=5,$F$44=7,$F$44=8,$F$44=9,$F$44=10,$F$44=11,$F$44&gt;12),"#VALUE!",IF($F$44=0,$E$44*$G$131,((12/$F$44)*$E$44)*$G$131)))</f>
        <v>0</v>
      </c>
      <c r="J44" s="1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1:87" s="44" customFormat="1" ht="10" customHeight="1" x14ac:dyDescent="0.2">
      <c r="A45" s="16"/>
      <c r="B45" s="240" t="str">
        <f>IF(OR($F$44=5,$F$44=7,$F$44=8,$F$44=9,$F$44=10,$F$44=11,$F$44&gt;12, $E$44&gt;1),"* * ERROR - ADM. FEE * *"," ")</f>
        <v xml:space="preserve"> </v>
      </c>
      <c r="C45" s="241"/>
      <c r="D45" s="241"/>
      <c r="E45" s="241"/>
      <c r="F45" s="50"/>
      <c r="G45" s="50"/>
      <c r="H45" s="60"/>
      <c r="I45" s="72"/>
      <c r="J45" s="1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1:87" s="16" customFormat="1" ht="16.75" customHeight="1" x14ac:dyDescent="0.2">
      <c r="B46" s="78" t="s">
        <v>36</v>
      </c>
      <c r="C46" s="26"/>
      <c r="D46" s="26"/>
      <c r="E46" s="64" t="s">
        <v>9</v>
      </c>
      <c r="F46" s="64" t="s">
        <v>16</v>
      </c>
      <c r="G46" s="29"/>
      <c r="H46" s="29"/>
      <c r="I46" s="7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1:87" s="16" customFormat="1" ht="16.75" customHeight="1" x14ac:dyDescent="0.2">
      <c r="B47" s="67" t="s">
        <v>84</v>
      </c>
      <c r="C47" s="26"/>
      <c r="D47" s="26"/>
      <c r="E47" s="70">
        <v>0</v>
      </c>
      <c r="F47" s="94">
        <v>0</v>
      </c>
      <c r="G47" s="29"/>
      <c r="H47" s="29"/>
      <c r="I47" s="72">
        <f>IF(OR(AND($E$47&gt;0,$E$47&lt;1000),($E$47=0)),($E$47*$D$15)+$F$47, "#VALUE!")</f>
        <v>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1:87" s="16" customFormat="1" ht="10" customHeight="1" x14ac:dyDescent="0.2">
      <c r="B48" s="240" t="str">
        <f>IF(OR($E$47&gt;1,$F$47&lt;0),"* * ERROR - FACILITY / LINE FEE * *"," ")</f>
        <v xml:space="preserve"> </v>
      </c>
      <c r="C48" s="241"/>
      <c r="D48" s="241"/>
      <c r="E48" s="241"/>
      <c r="F48" s="28"/>
      <c r="G48" s="29"/>
      <c r="H48" s="29"/>
      <c r="I48" s="9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2:87" s="16" customFormat="1" ht="16.75" customHeight="1" x14ac:dyDescent="0.2">
      <c r="B49" s="31" t="s">
        <v>44</v>
      </c>
      <c r="C49" s="26"/>
      <c r="D49" s="26"/>
      <c r="F49" s="64" t="s">
        <v>43</v>
      </c>
      <c r="G49" s="29"/>
      <c r="H49" s="29"/>
      <c r="I49" s="9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2:87" s="16" customFormat="1" ht="16.75" customHeight="1" x14ac:dyDescent="0.2">
      <c r="B50" s="67" t="s">
        <v>45</v>
      </c>
      <c r="C50" s="26"/>
      <c r="D50" s="26"/>
      <c r="F50" s="91" t="s">
        <v>100</v>
      </c>
      <c r="G50" s="29"/>
      <c r="H50" s="29"/>
      <c r="I50" s="97">
        <f>IF(OR($F$50="D",$F$50="d"),(($D$19*2*$E$151)/365)*(1-$D$17),IF(OR($F$50="W",$F$50="w"),(($D$19*5.5*$E$151)/365)*(1-$D$17),IF(OR($F$50="S",$F$50="s"),(($D$19*9.5*$E$151)/365)*(1-$D$17),IF(OR($F$50="M",$F$50="m"),(($D$19*17.5*$E$151)/365)*(1-$D$17),IF(OR($F$50=0,$F$50="N/A",$F$50="n/a"),0,"#VALUE!")))))</f>
        <v>122.05479452054796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2:87" s="16" customFormat="1" ht="10" customHeight="1" x14ac:dyDescent="0.2">
      <c r="B51" s="69" t="str">
        <f>IF(OR($F$50="D",$F$50="d", $F$50="W", $F$50="w", $F$50="S", $F$50="s", $F$50="M", $F$50="m", $F$50="N/A", $F$50="n/a", $F$50=0)," ","* * ERROR - REFUND PERIOD * *")</f>
        <v xml:space="preserve"> </v>
      </c>
      <c r="C51" s="26"/>
      <c r="D51" s="26"/>
      <c r="F51" s="50"/>
      <c r="G51" s="29"/>
      <c r="H51" s="29"/>
      <c r="I51" s="3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2:87" s="16" customFormat="1" ht="16.75" customHeight="1" x14ac:dyDescent="0.2">
      <c r="B52" s="67"/>
      <c r="C52" s="26"/>
      <c r="D52" s="26"/>
      <c r="E52" s="98"/>
      <c r="F52" s="99"/>
      <c r="G52" s="60"/>
      <c r="H52" s="100" t="s">
        <v>48</v>
      </c>
      <c r="I52" s="96">
        <f>$G$132</f>
        <v>9122.0547945205471</v>
      </c>
      <c r="K52" s="10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2:87" s="16" customFormat="1" ht="16.75" customHeight="1" x14ac:dyDescent="0.2">
      <c r="B53" s="67"/>
      <c r="C53" s="26"/>
      <c r="D53" s="26"/>
      <c r="E53" s="98"/>
      <c r="F53" s="99"/>
      <c r="G53" s="60"/>
      <c r="H53" s="100" t="s">
        <v>59</v>
      </c>
      <c r="I53" s="102">
        <f>$G$133</f>
        <v>0.21761764705882353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2:87" s="16" customFormat="1" ht="16.75" customHeight="1" x14ac:dyDescent="0.25">
      <c r="B54" s="53" t="s">
        <v>93</v>
      </c>
      <c r="C54" s="26"/>
      <c r="D54" s="26"/>
      <c r="E54" s="50"/>
      <c r="F54" s="35"/>
      <c r="G54" s="35"/>
      <c r="H54" s="51"/>
      <c r="I54" s="5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2:87" s="16" customFormat="1" ht="10" customHeight="1" x14ac:dyDescent="0.2">
      <c r="B55" s="38"/>
      <c r="C55" s="26"/>
      <c r="D55" s="26"/>
      <c r="E55" s="50"/>
      <c r="F55" s="35"/>
      <c r="G55" s="35"/>
      <c r="H55" s="51"/>
      <c r="I55" s="5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2:87" s="16" customFormat="1" ht="16.75" customHeight="1" x14ac:dyDescent="0.2">
      <c r="B56" s="78" t="s">
        <v>31</v>
      </c>
      <c r="C56" s="79"/>
      <c r="D56" s="79"/>
      <c r="E56" s="64" t="s">
        <v>7</v>
      </c>
      <c r="F56" s="80" t="s">
        <v>8</v>
      </c>
      <c r="G56" s="80" t="s">
        <v>29</v>
      </c>
      <c r="H56" s="81" t="s">
        <v>0</v>
      </c>
      <c r="I56" s="8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2:87" s="16" customFormat="1" ht="16.75" customHeight="1" x14ac:dyDescent="0.2">
      <c r="B57" s="67" t="s">
        <v>92</v>
      </c>
      <c r="C57" s="83"/>
      <c r="D57" s="84"/>
      <c r="E57" s="70">
        <v>0</v>
      </c>
      <c r="F57" s="70">
        <v>0</v>
      </c>
      <c r="G57" s="85">
        <f>$E$57+$F$57</f>
        <v>0</v>
      </c>
      <c r="H57" s="86"/>
      <c r="I57" s="72">
        <f>($G$57*$G$139)*((365-$H$19)/365)</f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2:87" s="16" customFormat="1" ht="10" customHeight="1" x14ac:dyDescent="0.2">
      <c r="B58" s="38"/>
      <c r="C58" s="26"/>
      <c r="D58" s="26"/>
      <c r="E58" s="50"/>
      <c r="F58" s="35"/>
      <c r="G58" s="35"/>
      <c r="H58" s="51"/>
      <c r="I58" s="5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2:87" s="16" customFormat="1" ht="16.75" customHeight="1" x14ac:dyDescent="0.2">
      <c r="B59" s="78" t="s">
        <v>26</v>
      </c>
      <c r="C59" s="26"/>
      <c r="D59" s="88"/>
      <c r="E59" s="64" t="s">
        <v>9</v>
      </c>
      <c r="F59" s="80" t="s">
        <v>24</v>
      </c>
      <c r="G59" s="50"/>
      <c r="H59" s="60"/>
      <c r="I59" s="9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2:87" s="16" customFormat="1" ht="16.75" customHeight="1" x14ac:dyDescent="0.2">
      <c r="B60" s="67" t="s">
        <v>85</v>
      </c>
      <c r="C60" s="26"/>
      <c r="D60" s="88"/>
      <c r="E60" s="70">
        <v>0</v>
      </c>
      <c r="F60" s="91">
        <v>1</v>
      </c>
      <c r="G60" s="50"/>
      <c r="H60" s="60"/>
      <c r="I60" s="97">
        <f>IF(OR($F$60=5,$F$60=7,$F$60=8,$F$60=9,$F$60=10,$F$60=11,$F$60&gt;12),"#VALUE!",IF($F$60=0,($E$60*$G$139)*((365-$H$19)/365),(((12/$F$60)*$E$60)*$G$139))*((365-$H$19)/365))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</row>
    <row r="61" spans="2:87" s="16" customFormat="1" ht="10" customHeight="1" x14ac:dyDescent="0.2">
      <c r="B61" s="67"/>
      <c r="C61" s="26"/>
      <c r="D61" s="88"/>
      <c r="E61" s="88"/>
      <c r="F61" s="50"/>
      <c r="G61" s="50"/>
      <c r="H61" s="228"/>
      <c r="I61" s="9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</row>
    <row r="62" spans="2:87" s="16" customFormat="1" ht="16.75" customHeight="1" x14ac:dyDescent="0.2">
      <c r="B62" s="38"/>
      <c r="C62" s="26"/>
      <c r="D62" s="26"/>
      <c r="E62" s="50"/>
      <c r="F62" s="99"/>
      <c r="G62" s="60"/>
      <c r="H62" s="100" t="s">
        <v>94</v>
      </c>
      <c r="I62" s="96">
        <f>$G$140</f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</row>
    <row r="63" spans="2:87" s="16" customFormat="1" ht="16.75" customHeight="1" x14ac:dyDescent="0.2">
      <c r="B63" s="38"/>
      <c r="C63" s="26"/>
      <c r="D63" s="26"/>
      <c r="E63" s="50"/>
      <c r="F63" s="99"/>
      <c r="G63" s="60"/>
      <c r="H63" s="100" t="s">
        <v>95</v>
      </c>
      <c r="I63" s="102">
        <f>IF($I$62&gt;0,$G$141,0)</f>
        <v>0</v>
      </c>
      <c r="K63" s="3"/>
      <c r="L63" s="3"/>
      <c r="M63" s="3"/>
      <c r="N63" s="3"/>
      <c r="O63" s="3"/>
      <c r="P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2:87" s="16" customFormat="1" ht="16.75" customHeight="1" x14ac:dyDescent="0.25">
      <c r="B64" s="53" t="s">
        <v>67</v>
      </c>
      <c r="C64" s="26"/>
      <c r="D64" s="26"/>
      <c r="E64" s="50"/>
      <c r="F64" s="35"/>
      <c r="G64" s="35"/>
      <c r="H64" s="51"/>
      <c r="I64" s="5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</row>
    <row r="65" spans="1:87" s="16" customFormat="1" ht="16.75" customHeight="1" x14ac:dyDescent="0.2">
      <c r="B65" s="38"/>
      <c r="C65" s="26"/>
      <c r="D65" s="26"/>
      <c r="E65" s="50"/>
      <c r="F65" s="89"/>
      <c r="G65" s="89"/>
      <c r="H65" s="100" t="s">
        <v>57</v>
      </c>
      <c r="I65" s="96">
        <f>$G$144</f>
        <v>9122.0547945205471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</row>
    <row r="66" spans="1:87" s="16" customFormat="1" ht="16.75" customHeight="1" x14ac:dyDescent="0.25">
      <c r="B66" s="53"/>
      <c r="C66" s="54"/>
      <c r="D66" s="54"/>
      <c r="E66" s="54"/>
      <c r="F66" s="103"/>
      <c r="G66" s="103"/>
      <c r="H66" s="100" t="s">
        <v>58</v>
      </c>
      <c r="I66" s="102">
        <f>$G$145</f>
        <v>0.21761764705882353</v>
      </c>
      <c r="K66" s="10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</row>
    <row r="67" spans="1:87" s="16" customFormat="1" ht="10" customHeight="1" x14ac:dyDescent="0.25">
      <c r="B67" s="104"/>
      <c r="C67" s="105"/>
      <c r="D67" s="105"/>
      <c r="E67" s="105"/>
      <c r="F67" s="105"/>
      <c r="G67" s="105"/>
      <c r="H67" s="105"/>
      <c r="I67" s="10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</row>
    <row r="68" spans="1:87" s="16" customFormat="1" ht="16.75" customHeight="1" x14ac:dyDescent="0.2">
      <c r="B68" s="38"/>
      <c r="C68" s="26"/>
      <c r="D68" s="107"/>
      <c r="E68" s="64" t="s">
        <v>40</v>
      </c>
      <c r="F68" s="80" t="s">
        <v>39</v>
      </c>
      <c r="G68" s="108"/>
      <c r="H68" s="108"/>
      <c r="I68" s="10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</row>
    <row r="69" spans="1:87" s="16" customFormat="1" ht="16.75" customHeight="1" x14ac:dyDescent="0.2">
      <c r="B69" s="62" t="s">
        <v>42</v>
      </c>
      <c r="C69" s="26"/>
      <c r="D69" s="43"/>
      <c r="E69" s="110">
        <v>0</v>
      </c>
      <c r="F69" s="94">
        <v>0</v>
      </c>
      <c r="G69" s="50"/>
      <c r="H69" s="50"/>
      <c r="I69" s="72">
        <f>IF(OR($E$69&lt;0,$F$69&lt;0), " ",IF($E$69&gt;0,(-$E$69*($G$144-$I$50-$I$47))+$F$69,$F$69))</f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</row>
    <row r="70" spans="1:87" s="16" customFormat="1" ht="16.75" customHeight="1" x14ac:dyDescent="0.2">
      <c r="B70" s="67" t="s">
        <v>68</v>
      </c>
      <c r="C70" s="26"/>
      <c r="D70" s="43"/>
      <c r="E70" s="111"/>
      <c r="F70" s="112"/>
      <c r="G70" s="50"/>
      <c r="H70" s="50"/>
      <c r="I70" s="3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</row>
    <row r="71" spans="1:87" s="16" customFormat="1" ht="16.75" customHeight="1" x14ac:dyDescent="0.25">
      <c r="B71" s="67"/>
      <c r="C71" s="26"/>
      <c r="D71" s="43"/>
      <c r="E71" s="111"/>
      <c r="F71" s="113"/>
      <c r="G71" s="114"/>
      <c r="H71" s="115" t="s">
        <v>76</v>
      </c>
      <c r="I71" s="116">
        <f>$G$147</f>
        <v>9122.0547945205471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</row>
    <row r="72" spans="1:87" s="16" customFormat="1" ht="16.75" customHeight="1" x14ac:dyDescent="0.25">
      <c r="B72" s="67"/>
      <c r="C72" s="26"/>
      <c r="D72" s="43"/>
      <c r="E72" s="111"/>
      <c r="F72" s="113"/>
      <c r="G72" s="114"/>
      <c r="H72" s="115" t="s">
        <v>77</v>
      </c>
      <c r="I72" s="117">
        <f>$G$148</f>
        <v>0.21761764705882353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</row>
    <row r="73" spans="1:87" s="16" customFormat="1" ht="9.75" customHeight="1" thickBot="1" x14ac:dyDescent="0.25">
      <c r="B73" s="118"/>
      <c r="C73" s="119"/>
      <c r="D73" s="119"/>
      <c r="E73" s="120"/>
      <c r="F73" s="121"/>
      <c r="G73" s="121"/>
      <c r="H73" s="122"/>
      <c r="I73" s="12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</row>
    <row r="74" spans="1:87" ht="10" customHeight="1" thickBot="1" x14ac:dyDescent="0.25">
      <c r="A74" s="16"/>
      <c r="B74" s="34"/>
      <c r="C74" s="34"/>
      <c r="D74" s="34"/>
      <c r="E74" s="35"/>
      <c r="F74" s="35"/>
      <c r="G74" s="35"/>
      <c r="H74" s="35"/>
      <c r="I74" s="124"/>
    </row>
    <row r="75" spans="1:87" ht="10" customHeight="1" x14ac:dyDescent="0.2">
      <c r="A75" s="16"/>
      <c r="B75" s="125"/>
      <c r="C75" s="126"/>
      <c r="D75" s="126"/>
      <c r="E75" s="127"/>
      <c r="F75" s="127"/>
      <c r="G75" s="127"/>
      <c r="H75" s="127"/>
      <c r="I75" s="128"/>
    </row>
    <row r="76" spans="1:87" ht="16.75" customHeight="1" x14ac:dyDescent="0.25">
      <c r="A76" s="129"/>
      <c r="B76" s="53" t="s">
        <v>74</v>
      </c>
      <c r="C76" s="54"/>
      <c r="D76" s="54"/>
      <c r="E76" s="54"/>
      <c r="F76" s="54"/>
      <c r="G76" s="54"/>
      <c r="H76" s="54"/>
      <c r="I76" s="130"/>
    </row>
    <row r="77" spans="1:87" ht="10" customHeight="1" x14ac:dyDescent="0.25">
      <c r="A77" s="129"/>
      <c r="B77" s="104"/>
      <c r="C77" s="105"/>
      <c r="D77" s="105"/>
      <c r="E77" s="105"/>
      <c r="F77" s="105"/>
      <c r="G77" s="105"/>
      <c r="H77" s="105"/>
      <c r="I77" s="106"/>
    </row>
    <row r="78" spans="1:87" ht="16.75" customHeight="1" x14ac:dyDescent="0.2">
      <c r="B78" s="131"/>
      <c r="C78" s="132"/>
      <c r="D78" s="100" t="s">
        <v>10</v>
      </c>
      <c r="E78" s="136">
        <f>IF($D$21&lt;11," ",$D$21-10)</f>
        <v>20</v>
      </c>
      <c r="F78" s="136">
        <f>IF($D$21&lt;6," ",$D$21-5)</f>
        <v>25</v>
      </c>
      <c r="G78" s="231">
        <f>$D$21</f>
        <v>30</v>
      </c>
      <c r="H78" s="232">
        <f>IF($G$78=0," ",$D$21+5)</f>
        <v>35</v>
      </c>
      <c r="I78" s="233">
        <v>40</v>
      </c>
    </row>
    <row r="79" spans="1:87" ht="10" customHeight="1" x14ac:dyDescent="0.25">
      <c r="B79" s="133"/>
      <c r="C79" s="134"/>
      <c r="D79" s="135"/>
      <c r="E79" s="136"/>
      <c r="F79" s="136"/>
      <c r="G79" s="137"/>
      <c r="H79" s="136"/>
      <c r="I79" s="138"/>
    </row>
    <row r="80" spans="1:87" ht="16.75" customHeight="1" x14ac:dyDescent="0.2">
      <c r="B80" s="139"/>
      <c r="C80" s="140"/>
      <c r="D80" s="100" t="s">
        <v>73</v>
      </c>
      <c r="E80" s="141">
        <f>IF($D$21&lt;11," ",$E$130)</f>
        <v>32876.71232876712</v>
      </c>
      <c r="F80" s="141">
        <f>IF($D$21&lt;6," ",$F$130)</f>
        <v>41095.890410958906</v>
      </c>
      <c r="G80" s="142">
        <f>$G$130</f>
        <v>49315.068493150684</v>
      </c>
      <c r="H80" s="141">
        <f>$H$130</f>
        <v>57534.246575342462</v>
      </c>
      <c r="I80" s="143">
        <f>$I$130</f>
        <v>65753.42465753424</v>
      </c>
    </row>
    <row r="81" spans="2:10" ht="16.75" customHeight="1" x14ac:dyDescent="0.2">
      <c r="B81" s="62"/>
      <c r="C81" s="60"/>
      <c r="D81" s="100" t="s">
        <v>96</v>
      </c>
      <c r="E81" s="141">
        <f>$H$21</f>
        <v>0</v>
      </c>
      <c r="F81" s="141">
        <f>$H$21</f>
        <v>0</v>
      </c>
      <c r="G81" s="142">
        <f>$H$21</f>
        <v>0</v>
      </c>
      <c r="H81" s="141">
        <f>$H$21</f>
        <v>0</v>
      </c>
      <c r="I81" s="143">
        <f>$H$21</f>
        <v>0</v>
      </c>
    </row>
    <row r="82" spans="2:10" ht="10" customHeight="1" x14ac:dyDescent="0.2">
      <c r="B82" s="62"/>
      <c r="C82" s="60"/>
      <c r="D82" s="100"/>
      <c r="E82" s="141"/>
      <c r="F82" s="141"/>
      <c r="G82" s="142"/>
      <c r="H82" s="141"/>
      <c r="I82" s="143"/>
    </row>
    <row r="83" spans="2:10" ht="16.75" customHeight="1" x14ac:dyDescent="0.2">
      <c r="B83" s="62"/>
      <c r="C83" s="60"/>
      <c r="D83" s="100" t="s">
        <v>69</v>
      </c>
      <c r="E83" s="141">
        <f>IF($D$21&lt;11," ",$E$131)</f>
        <v>27945.205479452052</v>
      </c>
      <c r="F83" s="141">
        <f>IF($D$21&lt;6," ",$F$131)</f>
        <v>34931.506849315068</v>
      </c>
      <c r="G83" s="142">
        <f>$G$131</f>
        <v>41917.808219178078</v>
      </c>
      <c r="H83" s="141">
        <f>$H$131</f>
        <v>48904.109589041094</v>
      </c>
      <c r="I83" s="143">
        <f>$I$131</f>
        <v>55890.410958904104</v>
      </c>
    </row>
    <row r="84" spans="2:10" ht="16.75" customHeight="1" x14ac:dyDescent="0.2">
      <c r="B84" s="62"/>
      <c r="C84" s="60"/>
      <c r="D84" s="100" t="s">
        <v>97</v>
      </c>
      <c r="E84" s="144">
        <f>$H$23</f>
        <v>0</v>
      </c>
      <c r="F84" s="144">
        <f>$H$23</f>
        <v>0</v>
      </c>
      <c r="G84" s="145">
        <f>$H$23</f>
        <v>0</v>
      </c>
      <c r="H84" s="144">
        <f>$H$23</f>
        <v>0</v>
      </c>
      <c r="I84" s="146">
        <f>$H$23</f>
        <v>0</v>
      </c>
    </row>
    <row r="85" spans="2:10" ht="16.75" customHeight="1" x14ac:dyDescent="0.2">
      <c r="B85" s="62"/>
      <c r="C85" s="60"/>
      <c r="D85" s="100" t="s">
        <v>75</v>
      </c>
      <c r="E85" s="142">
        <f>IF($D$19=0,0,$E$83+$E$84)</f>
        <v>27945.205479452052</v>
      </c>
      <c r="F85" s="142">
        <f>IF($D$19=0,0,$F$83+$F$84)</f>
        <v>34931.506849315068</v>
      </c>
      <c r="G85" s="142">
        <f>IF($D$19=0,0,$G$83+$G$84)</f>
        <v>41917.808219178078</v>
      </c>
      <c r="H85" s="142">
        <f>IF($D$19=0,0,$H$83+$H$84)</f>
        <v>48904.109589041094</v>
      </c>
      <c r="I85" s="147">
        <f>IF($D$19=0,0,$I$83+$I$84)</f>
        <v>55890.410958904104</v>
      </c>
    </row>
    <row r="86" spans="2:10" ht="10" customHeight="1" x14ac:dyDescent="0.2">
      <c r="B86" s="139"/>
      <c r="C86" s="140"/>
      <c r="D86" s="148"/>
      <c r="E86" s="142"/>
      <c r="F86" s="142"/>
      <c r="G86" s="142"/>
      <c r="H86" s="142"/>
      <c r="I86" s="147"/>
    </row>
    <row r="87" spans="2:10" ht="16.75" customHeight="1" x14ac:dyDescent="0.2">
      <c r="B87" s="62"/>
      <c r="C87" s="60"/>
      <c r="D87" s="100" t="s">
        <v>78</v>
      </c>
      <c r="E87" s="141">
        <f>$E$147</f>
        <v>9122.0547945205471</v>
      </c>
      <c r="F87" s="141">
        <f>$F$147</f>
        <v>9122.0547945205471</v>
      </c>
      <c r="G87" s="142">
        <f>$G$147</f>
        <v>9122.0547945205471</v>
      </c>
      <c r="H87" s="141">
        <f>$H$147</f>
        <v>18122.054794520547</v>
      </c>
      <c r="I87" s="143">
        <f>$I$147</f>
        <v>18122.054794520547</v>
      </c>
    </row>
    <row r="88" spans="2:10" ht="16.75" customHeight="1" x14ac:dyDescent="0.2">
      <c r="B88" s="62"/>
      <c r="C88" s="60"/>
      <c r="D88" s="100" t="s">
        <v>77</v>
      </c>
      <c r="E88" s="149">
        <f>$E$148</f>
        <v>0.32642647058823532</v>
      </c>
      <c r="F88" s="149">
        <f>$F$148</f>
        <v>0.26114117647058821</v>
      </c>
      <c r="G88" s="150">
        <f>$G$148</f>
        <v>0.21761764705882353</v>
      </c>
      <c r="H88" s="149">
        <f>$H$148</f>
        <v>0.37056302521008405</v>
      </c>
      <c r="I88" s="151">
        <f>$I$148</f>
        <v>0.32424264705882355</v>
      </c>
    </row>
    <row r="89" spans="2:10" ht="10" customHeight="1" thickBot="1" x14ac:dyDescent="0.25">
      <c r="B89" s="152"/>
      <c r="C89" s="153"/>
      <c r="D89" s="154"/>
      <c r="E89" s="155"/>
      <c r="F89" s="155"/>
      <c r="G89" s="156"/>
      <c r="H89" s="155"/>
      <c r="I89" s="157"/>
    </row>
    <row r="90" spans="2:10" ht="10" customHeight="1" thickBot="1" x14ac:dyDescent="0.25">
      <c r="B90" s="158"/>
      <c r="C90" s="132"/>
      <c r="D90" s="159"/>
      <c r="E90" s="160"/>
      <c r="F90" s="160"/>
      <c r="G90" s="161"/>
      <c r="H90" s="160"/>
      <c r="I90" s="160"/>
    </row>
    <row r="91" spans="2:10" ht="10" customHeight="1" x14ac:dyDescent="0.2">
      <c r="B91" s="162"/>
      <c r="C91" s="163"/>
      <c r="D91" s="164"/>
      <c r="E91" s="165"/>
      <c r="F91" s="165"/>
      <c r="G91" s="166"/>
      <c r="H91" s="165"/>
      <c r="I91" s="167"/>
    </row>
    <row r="92" spans="2:10" ht="16.75" customHeight="1" x14ac:dyDescent="0.25">
      <c r="B92" s="53" t="s">
        <v>34</v>
      </c>
      <c r="C92" s="54"/>
      <c r="D92" s="54"/>
      <c r="E92" s="54"/>
      <c r="F92" s="54"/>
      <c r="G92" s="103" t="str">
        <f>IF(OR($E$95&gt;10,$F$95&gt;1000000,$G$95=5,$G$95=7,$G$95=8,$G$95=9,$G$95=10,$G$95=11,$G$95&gt;12),"* * ERROR -MIN. PERF. CALCULATION * *"," ")</f>
        <v xml:space="preserve"> </v>
      </c>
      <c r="H92" s="103"/>
      <c r="I92" s="168"/>
      <c r="J92" s="103"/>
    </row>
    <row r="93" spans="2:10" ht="10" customHeight="1" x14ac:dyDescent="0.25">
      <c r="B93" s="169"/>
      <c r="C93" s="170"/>
      <c r="D93" s="171"/>
      <c r="E93" s="59"/>
      <c r="F93" s="172"/>
      <c r="G93" s="173"/>
      <c r="H93" s="173"/>
      <c r="I93" s="174"/>
    </row>
    <row r="94" spans="2:10" ht="16.75" customHeight="1" x14ac:dyDescent="0.25">
      <c r="B94" s="175"/>
      <c r="C94" s="176"/>
      <c r="D94" s="64"/>
      <c r="E94" s="64" t="s">
        <v>15</v>
      </c>
      <c r="F94" s="80" t="s">
        <v>38</v>
      </c>
      <c r="G94" s="80" t="s">
        <v>17</v>
      </c>
      <c r="H94" s="80"/>
      <c r="I94" s="109" t="s">
        <v>41</v>
      </c>
    </row>
    <row r="95" spans="2:10" ht="16.75" customHeight="1" x14ac:dyDescent="0.2">
      <c r="B95" s="62" t="s">
        <v>18</v>
      </c>
      <c r="C95" s="26"/>
      <c r="D95" s="43"/>
      <c r="E95" s="110">
        <v>0</v>
      </c>
      <c r="F95" s="94">
        <v>0</v>
      </c>
      <c r="G95" s="91">
        <v>1</v>
      </c>
      <c r="H95" s="177"/>
      <c r="I95" s="30">
        <f>IF(OR($G$95=5,$G$95=7,$G$95=8,$G$95=9,$G$95=10,$G$95=11,$G$95&gt;12),"#VALUE!",IF(AND($E$95&gt;0,$F$95&gt;0),"#VALUE!",IF($F$95=0, ($E$95*$D$15)*$E$150,IF($F$95&gt;0,$F$95*E$150,"#VALUE!"))))</f>
        <v>0</v>
      </c>
    </row>
    <row r="96" spans="2:10" ht="16.75" customHeight="1" x14ac:dyDescent="0.2">
      <c r="B96" s="67" t="s">
        <v>70</v>
      </c>
      <c r="C96" s="26"/>
      <c r="D96" s="26"/>
      <c r="E96" s="178"/>
      <c r="F96" s="132"/>
      <c r="G96" s="132"/>
      <c r="H96" s="132"/>
      <c r="I96" s="179"/>
    </row>
    <row r="97" spans="2:9" ht="16.75" customHeight="1" x14ac:dyDescent="0.2">
      <c r="B97" s="38"/>
      <c r="C97" s="26"/>
      <c r="D97" s="26"/>
      <c r="E97" s="26"/>
      <c r="F97" s="26"/>
      <c r="G97" s="26"/>
      <c r="H97" s="57" t="s">
        <v>19</v>
      </c>
      <c r="I97" s="30">
        <f>IF($D$19=0,0,(($I$95/($G$132-$I$50-$I$47))*$D$19)/12)</f>
        <v>0</v>
      </c>
    </row>
    <row r="98" spans="2:9" ht="16.75" customHeight="1" x14ac:dyDescent="0.2">
      <c r="B98" s="38"/>
      <c r="C98" s="26"/>
      <c r="D98" s="26"/>
      <c r="E98" s="26"/>
      <c r="F98" s="26"/>
      <c r="G98" s="26"/>
      <c r="H98" s="57" t="s">
        <v>72</v>
      </c>
      <c r="I98" s="30">
        <f>IF($D$19=0,0,(($I$95/($G$132-$G$128-$G$129))*$G$131)/$D$17)</f>
        <v>0</v>
      </c>
    </row>
    <row r="99" spans="2:9" ht="16.75" customHeight="1" thickBot="1" x14ac:dyDescent="0.25">
      <c r="B99" s="118"/>
      <c r="C99" s="119"/>
      <c r="D99" s="119"/>
      <c r="E99" s="119"/>
      <c r="F99" s="119"/>
      <c r="G99" s="119"/>
      <c r="H99" s="180" t="s">
        <v>71</v>
      </c>
      <c r="I99" s="181">
        <f>IF($D$19=0,0,($I$95/($G$132-$I$47-$I$50))*$G$131)</f>
        <v>0</v>
      </c>
    </row>
    <row r="100" spans="2:9" ht="16.75" customHeight="1" x14ac:dyDescent="0.2">
      <c r="B100" s="182"/>
      <c r="C100" s="182"/>
      <c r="D100" s="182"/>
      <c r="E100" s="183"/>
      <c r="F100" s="183"/>
      <c r="G100" s="183"/>
      <c r="H100" s="183"/>
      <c r="I100" s="184"/>
    </row>
    <row r="101" spans="2:9" ht="16.75" customHeight="1" x14ac:dyDescent="0.2">
      <c r="B101" s="182"/>
      <c r="C101" s="182"/>
      <c r="D101" s="182"/>
      <c r="E101" s="183"/>
      <c r="F101" s="183"/>
      <c r="G101" s="183"/>
      <c r="H101" s="183"/>
      <c r="I101" s="184"/>
    </row>
    <row r="102" spans="2:9" ht="16.75" customHeight="1" x14ac:dyDescent="0.2">
      <c r="B102" s="182"/>
      <c r="C102" s="182"/>
      <c r="D102" s="182"/>
      <c r="E102" s="183"/>
      <c r="F102" s="183"/>
      <c r="G102" s="183"/>
      <c r="H102" s="183"/>
      <c r="I102" s="184"/>
    </row>
    <row r="103" spans="2:9" ht="16.75" customHeight="1" x14ac:dyDescent="0.2">
      <c r="B103" s="182"/>
      <c r="C103" s="182"/>
      <c r="D103" s="182"/>
      <c r="E103" s="183"/>
      <c r="F103" s="183"/>
      <c r="G103" s="183"/>
      <c r="H103" s="183"/>
      <c r="I103" s="184"/>
    </row>
    <row r="104" spans="2:9" ht="16.75" customHeight="1" x14ac:dyDescent="0.2">
      <c r="B104" s="182"/>
      <c r="C104" s="182"/>
      <c r="D104" s="182"/>
      <c r="E104" s="183"/>
      <c r="F104" s="183"/>
      <c r="G104" s="183"/>
      <c r="H104" s="183"/>
      <c r="I104" s="184"/>
    </row>
    <row r="105" spans="2:9" ht="16.75" customHeight="1" x14ac:dyDescent="0.2">
      <c r="B105" s="182"/>
      <c r="C105" s="182"/>
      <c r="D105" s="182"/>
      <c r="E105" s="183"/>
      <c r="F105" s="183"/>
      <c r="G105" s="183"/>
      <c r="H105" s="183"/>
      <c r="I105" s="184"/>
    </row>
    <row r="106" spans="2:9" ht="16.75" customHeight="1" x14ac:dyDescent="0.2">
      <c r="B106" s="182"/>
      <c r="C106" s="182"/>
      <c r="D106" s="182"/>
      <c r="E106" s="183"/>
      <c r="F106" s="183"/>
      <c r="G106" s="183"/>
      <c r="H106" s="183"/>
      <c r="I106" s="184"/>
    </row>
    <row r="107" spans="2:9" ht="16.75" customHeight="1" x14ac:dyDescent="0.2">
      <c r="B107" s="182"/>
      <c r="C107" s="182"/>
      <c r="D107" s="182"/>
      <c r="E107" s="183"/>
      <c r="F107" s="183"/>
      <c r="G107" s="183"/>
      <c r="H107" s="183"/>
      <c r="I107" s="184"/>
    </row>
    <row r="108" spans="2:9" ht="16.75" customHeight="1" x14ac:dyDescent="0.2">
      <c r="B108" s="182"/>
      <c r="C108" s="182"/>
      <c r="D108" s="182"/>
      <c r="E108" s="183"/>
      <c r="F108" s="183"/>
      <c r="G108" s="183"/>
      <c r="H108" s="183"/>
      <c r="I108" s="184"/>
    </row>
    <row r="109" spans="2:9" ht="16.75" customHeight="1" x14ac:dyDescent="0.2">
      <c r="B109" s="182"/>
      <c r="C109" s="182"/>
      <c r="D109" s="182"/>
      <c r="E109" s="183"/>
      <c r="F109" s="183"/>
      <c r="G109" s="183"/>
      <c r="H109" s="183"/>
      <c r="I109" s="184"/>
    </row>
    <row r="110" spans="2:9" ht="16.75" customHeight="1" x14ac:dyDescent="0.2">
      <c r="B110" s="182"/>
      <c r="C110" s="182"/>
      <c r="D110" s="182"/>
      <c r="E110" s="183"/>
      <c r="F110" s="183"/>
      <c r="G110" s="183"/>
      <c r="H110" s="183"/>
      <c r="I110" s="184"/>
    </row>
    <row r="111" spans="2:9" ht="16.75" customHeight="1" x14ac:dyDescent="0.2">
      <c r="B111" s="182"/>
      <c r="C111" s="182"/>
      <c r="D111" s="182"/>
      <c r="E111" s="183"/>
      <c r="F111" s="183"/>
      <c r="G111" s="183"/>
      <c r="H111" s="183"/>
      <c r="I111" s="184"/>
    </row>
    <row r="112" spans="2:9" ht="16.75" customHeight="1" x14ac:dyDescent="0.2">
      <c r="B112" s="182"/>
      <c r="C112" s="182"/>
      <c r="D112" s="182"/>
      <c r="E112" s="183"/>
      <c r="F112" s="183"/>
      <c r="G112" s="183"/>
      <c r="H112" s="183"/>
      <c r="I112" s="184"/>
    </row>
    <row r="113" spans="2:9" ht="16.75" hidden="1" customHeight="1" x14ac:dyDescent="0.2">
      <c r="B113" s="182"/>
      <c r="C113" s="182"/>
      <c r="D113" s="182"/>
      <c r="E113" s="183"/>
      <c r="F113" s="183"/>
      <c r="G113" s="183"/>
      <c r="H113" s="183"/>
      <c r="I113" s="184"/>
    </row>
    <row r="114" spans="2:9" ht="16.75" hidden="1" customHeight="1" x14ac:dyDescent="0.2">
      <c r="B114" s="182"/>
      <c r="C114" s="182"/>
      <c r="D114" s="182"/>
      <c r="E114" s="183"/>
      <c r="F114" s="183"/>
      <c r="G114" s="183"/>
      <c r="H114" s="183"/>
      <c r="I114" s="184"/>
    </row>
    <row r="115" spans="2:9" ht="16.75" hidden="1" customHeight="1" x14ac:dyDescent="0.2">
      <c r="B115" s="182"/>
      <c r="C115" s="182"/>
      <c r="D115" s="182"/>
      <c r="E115" s="183"/>
      <c r="F115" s="183"/>
      <c r="G115" s="183"/>
      <c r="H115" s="183"/>
      <c r="I115" s="184"/>
    </row>
    <row r="116" spans="2:9" ht="16.75" hidden="1" customHeight="1" x14ac:dyDescent="0.2">
      <c r="B116" s="182"/>
      <c r="C116" s="182"/>
      <c r="D116" s="182"/>
      <c r="E116" s="183"/>
      <c r="F116" s="183"/>
      <c r="G116" s="183"/>
      <c r="H116" s="183"/>
      <c r="I116" s="184"/>
    </row>
    <row r="117" spans="2:9" ht="16.5" hidden="1" customHeight="1" x14ac:dyDescent="0.2">
      <c r="B117" s="182"/>
      <c r="C117" s="182"/>
      <c r="D117" s="182"/>
      <c r="E117" s="183"/>
      <c r="F117" s="183"/>
      <c r="G117" s="183"/>
      <c r="H117" s="183"/>
      <c r="I117" s="184"/>
    </row>
    <row r="118" spans="2:9" ht="16.75" hidden="1" customHeight="1" x14ac:dyDescent="0.2">
      <c r="B118" s="182"/>
      <c r="C118" s="182"/>
      <c r="D118" s="182"/>
      <c r="E118" s="183"/>
      <c r="F118" s="183"/>
      <c r="G118" s="183"/>
      <c r="H118" s="183"/>
      <c r="I118" s="184"/>
    </row>
    <row r="119" spans="2:9" ht="16.75" hidden="1" customHeight="1" x14ac:dyDescent="0.2">
      <c r="B119" s="182"/>
      <c r="C119" s="182"/>
      <c r="D119" s="182"/>
      <c r="E119" s="183"/>
      <c r="F119" s="183"/>
      <c r="G119" s="183"/>
      <c r="H119" s="183"/>
      <c r="I119" s="184"/>
    </row>
    <row r="120" spans="2:9" s="188" customFormat="1" ht="16.5" hidden="1" customHeight="1" x14ac:dyDescent="0.2">
      <c r="B120" s="185" t="s">
        <v>20</v>
      </c>
      <c r="C120" s="185"/>
      <c r="D120" s="186"/>
      <c r="E120" s="186"/>
      <c r="F120" s="186"/>
      <c r="G120" s="186"/>
      <c r="H120" s="186"/>
      <c r="I120" s="187"/>
    </row>
    <row r="121" spans="2:9" s="188" customFormat="1" ht="16.5" hidden="1" customHeight="1" x14ac:dyDescent="0.2">
      <c r="B121" s="189" t="s">
        <v>49</v>
      </c>
      <c r="C121" s="190"/>
      <c r="D121" s="191"/>
      <c r="E121" s="191"/>
      <c r="F121" s="191"/>
      <c r="G121" s="191"/>
      <c r="H121" s="191"/>
      <c r="I121" s="192"/>
    </row>
    <row r="122" spans="2:9" s="188" customFormat="1" ht="16.5" hidden="1" customHeight="1" x14ac:dyDescent="0.2">
      <c r="B122" s="193" t="s">
        <v>10</v>
      </c>
      <c r="C122" s="194"/>
      <c r="E122" s="188">
        <f>$E$78</f>
        <v>20</v>
      </c>
      <c r="F122" s="195">
        <f>$F$78</f>
        <v>25</v>
      </c>
      <c r="G122" s="196">
        <f>$D$21</f>
        <v>30</v>
      </c>
      <c r="H122" s="195">
        <f>$H$78</f>
        <v>35</v>
      </c>
      <c r="I122" s="197">
        <f>$I$78</f>
        <v>40</v>
      </c>
    </row>
    <row r="123" spans="2:9" s="188" customFormat="1" ht="16.5" hidden="1" customHeight="1" x14ac:dyDescent="0.2">
      <c r="B123" s="193" t="s">
        <v>30</v>
      </c>
      <c r="C123" s="194"/>
      <c r="E123" s="198">
        <f>IF(OR(AND($F$32=0,$G$32=0,$H$32=0),(AND($F$32=" ",$G$32=" ",$H$32=" "))),$E$32*$D$19,IF(OR(AND($G$32=0,$H$32=0),(AND($G$32=" ",$H$32=" "))),ROUNDUP(($E$122/$F$32),0)*$E$32*$D$19,($E$131*$E$32/$D$17*(365/$E$122))+(IF($E$122-$F$32&gt;0,IF(($E$122-$F$32)/$H$32-ROUND(($E$122-$F$32)/$H$32,0)&gt;0.01,ROUND(($E$122-$F$32)/$H$32,0)+1,ROUND(($E$122-$F$32)/$H$32,0)),0)*($E$131/$D$17)*$G$32*365/$E$122)))</f>
        <v>9000</v>
      </c>
      <c r="F123" s="198">
        <f>IF(OR(AND($F$32=0,$G$32=0,$H$32=0),(AND($F$32=" ",$G$32=" ",$H$32=" "))),$E$32*$D$19,IF(OR(AND($G$32=0,$H$32=0),(AND($G$32=" ",$H$32=" "))),ROUNDUP(($F$122/$F$32),0)*$E$32*$D$19,($F$131*$E$32/$D$17*(365/$F$122))+(IF($F$122-$F$32&gt;0,IF(($F$122-$F$32)/$H$32-ROUND(($F$122-$F$32)/$H$32,0)&gt;0.01,ROUND(($F$122-$F$32)/$H$32,0)+1,ROUND(($F$122-$F$32)/$H$32,0)),0)*($F$131/$D$17)*$G$32*365/$F$122)))</f>
        <v>9000</v>
      </c>
      <c r="G123" s="199">
        <f>IF(OR(AND($F$32=0,$G$32=0,$H$32=0),(AND($F$32=" ",$G$32=" ",$H$32=" "))),$E$32*$D$19,IF(OR(AND($G$32=0,$H$32=0),(AND($G$32=" ",$H$32=" "))),ROUNDUP(($G$122/$F$32),0)*$E$32*$D$19,($G$131*$E$32/$D$17*(365/$G$122))+(IF($G$122-$F$32&gt;0,IF(($G$122-$F$32)/$H$32-ROUND(($G$122-$F$32)/$H$32,0)&gt;0.01,ROUND(($G$122-$F$32)/$H$32,0)+1,ROUND(($G$122-$F$32)/$H$32,0)),0)*($G$131/$D$17)*$G$32*365/$G$122)))</f>
        <v>9000</v>
      </c>
      <c r="H123" s="198">
        <f>IF(OR(AND($F$32=0,$G$32=0,$H$32=0),(AND($F$32=" ",$G$32=" ",$H$32=" "))),$E$32*$D$19,IF(OR(AND($G$32=0,$H$32=0),(AND($G$32=" ",$H$32=" "))),ROUNDUP(($H$122/$F$32),0)*$E$32*$D$19,($H$131*$E$32/$D$17*(365/$H$122))+(IF($H$122-$F$32&gt;0,IF(($H$122-$F$32)/$H$32-ROUND(($H$122-$F$32)/$H$32,0)&gt;0.01,ROUND(($H$122-$F$32)/$H$32,0)+1,ROUND(($H$122-$F$32)/$H$32,0)),0)*($H$131/$D$17)*$G$32*365/$H$122)))</f>
        <v>18000</v>
      </c>
      <c r="I123" s="200">
        <f>IF(OR(AND($F$32=0,$G$32=0,$H$32=0),(AND($F$32=" ",$G$32=" ",$H$32=" "))),$E$32*$D$19,IF(OR(AND($G$32=0,$H$32=0),(AND($G$32=" ",$H$32=" "))),ROUNDUP(($I$122/$F$32),0)*$E$32*$D$19,($I$131*$E$32/$D$17*(365/$I$122))+(IF($I$122-$F$32&gt;0,IF(($I$122-$F$32)/$H$32-ROUND(($I$122-$F$32)/$H$32,0)&gt;0.01,ROUND(($I$122-$F$32)/$H$32,0)+1,ROUND(($I$122-$F$32)/$H$32,0)),0)*($I$131/$D$17)*$G$32*365/$I$122)))</f>
        <v>18000</v>
      </c>
    </row>
    <row r="124" spans="2:9" s="188" customFormat="1" ht="16.5" hidden="1" customHeight="1" x14ac:dyDescent="0.2">
      <c r="B124" s="193" t="s">
        <v>31</v>
      </c>
      <c r="C124" s="194"/>
      <c r="E124" s="198">
        <f>IF($G$35=0,0,$G$35*$E$131)</f>
        <v>0</v>
      </c>
      <c r="F124" s="198">
        <f>IF($G$35=0,0,$G$35*$F$131)</f>
        <v>0</v>
      </c>
      <c r="G124" s="199">
        <f>IF($G$35=0,0,$G$35*$G$131)</f>
        <v>0</v>
      </c>
      <c r="H124" s="198">
        <f>IF($G$35=0,0,$G$35*$H$131)</f>
        <v>0</v>
      </c>
      <c r="I124" s="200">
        <f>IF($G$35=0,0,$G$35*$I$131)</f>
        <v>0</v>
      </c>
    </row>
    <row r="125" spans="2:9" s="188" customFormat="1" ht="16.5" hidden="1" customHeight="1" x14ac:dyDescent="0.2">
      <c r="B125" s="193" t="str">
        <f>IF(OR($E$38=0, $E$38=" ", $E$38="N/A", $E$38="n/a"),"NO COLLECTION DAYS",IF(AND(OR($G$38="B", $G$38="b"),$E$38&lt;16), $E$38 &amp;" BUSINESS DAYS:", IF(AND(OR($G$38="C", $G$38="c"),$E$38&lt;16), $E$38&amp; " CALENDAR DAYS:","? COLLECTION DAYS")))</f>
        <v>5 BUSINESS DAYS:</v>
      </c>
      <c r="C125" s="194"/>
      <c r="E125" s="198">
        <f>IF(AND(OR($E$38=0,$E$38=1,$E$38=2,$E$38=3,$E$38=4,$E$38=5,$E$38=6,$E$38=7,$E$38=8,$E$38=9,$E$38=10,$E$38=11,$E$38=12,$E$38=13,$E$38=14,$E$38=15), (OR($G$38="C", $G$38="c"))), (($D$19*$E$38*$G$35)/365),IF(AND(OR( $E$38=0,$E$38=1,$E$38=2,$E$38=3,$E$38=4,$E$38=5,$E$38=6,$E$38=7,$E$38=8,$E$38=9,$E$38=10,$E$38=11,$E$38=12,$E$38=13,$E$38=14,$E$38=15), (OR($G$38="B", $G$38="b"))), (($D$19*$E$38*$G$35)/250),IF(AND(OR($E$38=0, $E$38=" ", $E$38="n/a", $E$38="N/A"), (OR($G$38="B", $G$38="b",$G$38="C", $G$38="c", $G$38=0,$G$38=" ", $G$38="n/a", $G$38="N/A" ))),0,"#VALUE!")))</f>
        <v>0</v>
      </c>
      <c r="F125" s="198">
        <f>IF(AND(OR($E$38=0,$E$38=1,$E$38=2,$E$38=3,$E$38=4,$E$38=5,$E$38=6,$E$38=7,$E$38=8,$E$38=9,$E$38=10,$E$38=11,$E$38=12,$E$38=13,$E$38=14,$E$38=15), (OR($G$38="C", $G$38="c"))), (($D$19*$E$38*$G$35)/365),IF(AND(OR( $E$38=0,$E$38=1,$E$38=2,$E$38=3,$E$38=4,$E$38=5,$E$38=6,$E$38=7,$E$38=8,$E$38=9,$E$38=10,$E$38=11,$E$38=12,$E$38=13,$E$38=14,$E$38=15), (OR($G$38="B", $G$38="b"))), (($D$19*$E$38*$G$35)/250),IF(AND(OR($E$38=0, $E$38=" ", $E$38="n/a", $E$38="N/A"), (OR($G$38="B", $G$38="b",$G$38="C", $G$38="c", $G$38=0,$G$38=" ", $G$38="n/a", $G$38="N/A" ))),0,"#VALUE!")))</f>
        <v>0</v>
      </c>
      <c r="G125" s="199">
        <f>IF(AND(OR($E$38=0,$E$38=1,$E$38=2,$E$38=3,$E$38=4,$E$38=5,$E$38=6,$E$38=7,$E$38=8,$E$38=9,$E$38=10,$E$38=11,$E$38=12,$E$38=13,$E$38=14,$E$38=15), (OR($G$38="C", $G$38="c"))), (($D$19*$E$38*$G$35)/365),IF(AND(OR( $E$38=0,$E$38=1,$E$38=2,$E$38=3,$E$38=4,$E$38=5,$E$38=6,$E$38=7,$E$38=8,$E$38=9,$E$38=10,$E$38=11,$E$38=12,$E$38=13,$E$38=14,$E$38=15), (OR($G$38="B", $G$38="b"))), (($D$19*$E$38*$G$35)/250),IF(AND(OR($E$38=0, $E$38=" ", $E$38="n/a", $E$38="N/A"), (OR($G$38="B", $G$38="b",$G$38="C", $G$38="c", $G$38=0,$G$38=" ", $G$38="n/a", $G$38="N/A" ))),0,"#VALUE!")))</f>
        <v>0</v>
      </c>
      <c r="H125" s="198">
        <f>IF(AND(OR($E$38=0,$E$38=1,$E$38=2,$E$38=3,$E$38=4,$E$38=5,$E$38=6,$E$38=7,$E$38=8,$E$38=9,$E$38=10,$E$38=11,$E$38=12,$E$38=13,$E$38=14,$E$38=15), (OR($G$38="C", $G$38="c"))), (($D$19*$E$38*$G$35)/365),IF(AND(OR( $E$38=0,$E$38=1,$E$38=2,$E$38=3,$E$38=4,$E$38=5,$E$38=6,$E$38=7,$E$38=8,$E$38=9,$E$38=10,$E$38=11,$E$38=12,$E$38=13,$E$38=14,$E$38=15), (OR($G$38="B", $G$38="b"))), (($D$19*$E$38*$G$35)/250),IF(AND(OR($E$38=0, $E$38=" ", $E$38="n/a", $E$38="N/A"), (OR($G$38="B", $G$38="b",$G$38="C", $G$38="c", $G$38=0,$G$38=" ", $G$38="n/a", $G$38="N/A" ))),0,"#VALUE!")))</f>
        <v>0</v>
      </c>
      <c r="I125" s="200">
        <f>IF(AND(OR($E$38=0,$E$38=1,$E$38=2,$E$38=3,$E$38=4,$E$38=5,$E$38=6,$E$38=7,$E$38=8,$E$38=9,$E$38=10,$E$38=11,$E$38=12,$E$38=13,$E$38=14,$E$38=15), (OR($G$38="C", $G$38="c"))), (($D$19*$E$38*$G$35)/365),IF(AND(OR( $E$38=0,$E$38=1,$E$38=2,$E$38=3,$E$38=4,$E$38=5,$E$38=6,$E$38=7,$E$38=8,$E$38=9,$E$38=10,$E$38=11,$E$38=12,$E$38=13,$E$38=14,$E$38=15), (OR($G$38="B", $G$38="b"))), (($D$19*$E$38*$G$35)/250),IF(AND(OR($E$38=0, $E$38=" ", $E$38="n/a", $E$38="N/A"), (OR($G$38="B", $G$38="b",$G$38="C", $G$38="c", $G$38=0,$G$38=" ", $G$38="n/a", $G$38="N/A" ))),0,"#VALUE!")))</f>
        <v>0</v>
      </c>
    </row>
    <row r="126" spans="2:9" s="188" customFormat="1" ht="16.5" hidden="1" customHeight="1" x14ac:dyDescent="0.2">
      <c r="B126" s="193" t="s">
        <v>25</v>
      </c>
      <c r="C126" s="194"/>
      <c r="E126" s="198">
        <f>IF(OR($F$41=5,$F$41=7,$F$41=8,$F$41=9,$F$41=10,$F$41=11,$F$41&gt;12),"#VALUE!",IF($F$41=0,$E$41,(12/$F$41)*$E$41))</f>
        <v>0</v>
      </c>
      <c r="F126" s="198">
        <f>IF(OR($F$41=5,$F$41=7,$F$41=8,$F$41=9,$F$41=10,$F$41=11,$F$41&gt;12),"#VALUE!",IF($F$41=0,$E$41,(12/$F$41)*$E$41))</f>
        <v>0</v>
      </c>
      <c r="G126" s="199">
        <f>IF(OR($F$41=5,$F$41=7,$F$41=8,$F$41=9,$F$41=10,$F$41=11,$F$41&gt;12),"#VALUE!",IF($F$41=0,$E$41,(12/$F$41)*$E$41))</f>
        <v>0</v>
      </c>
      <c r="H126" s="198">
        <f>IF(OR($F$41=5,$F$41=7,$F$41=8,$F$41=9,$F$41=10,$F$41=11,$F$41&gt;12),"#VALUE!",IF($F$41=0,$E$41,(12/$F$41)*$E$41))</f>
        <v>0</v>
      </c>
      <c r="I126" s="200">
        <f>IF(OR($F$41=5,$F$41=7,$F$41=8,$F$41=9,$F$41=10,$F$41=11,$F$41&gt;12),"#VALUE!",IF($F$41=0,$E$41,(12/$F$41)*$E$41))</f>
        <v>0</v>
      </c>
    </row>
    <row r="127" spans="2:9" s="188" customFormat="1" ht="16.5" hidden="1" customHeight="1" x14ac:dyDescent="0.2">
      <c r="B127" s="193" t="s">
        <v>26</v>
      </c>
      <c r="C127" s="194"/>
      <c r="E127" s="198">
        <f>IF($E$44=0,0,IF(OR($F$44=5,$F$44=7,$F$44=8,$F$44=9,$F$44=10,$F$44=11,$F$44&gt;12),"#VALUE!",IF($F$44=0,$E$44*$E$131,((12/$F$44)*$E$44)*$E$131)))</f>
        <v>0</v>
      </c>
      <c r="F127" s="198">
        <f>IF($E$44=0,0,IF(OR($F$44=5,$F$44=7,$F$44=8,$F$44=9,$F$44=10,$F$44=11,$F$44&gt;12),"#VALUE!",IF($F$44=0,$E$44*$F$131,((12/$F$44)*$E$44)*$F$131)))</f>
        <v>0</v>
      </c>
      <c r="G127" s="199">
        <f>IF($E$44=0,0,IF(OR($F$44=5,$F$44=7,$F$44=8,$F$44=9,$F$44=10,$F$44=11,$F$44&gt;12),"#VALUE!",IF($F$44=0,$E$44*$G$131,((12/$F$44)*$E$44)*$G$131)))</f>
        <v>0</v>
      </c>
      <c r="H127" s="198">
        <f>IF($E$44=0,0,IF(OR($F$44=5,$F$44=7,$F$44=8,$F$44=9,$F$44=10,$F$44=11,$F$44&gt;12),"#VALUE!",IF($F$44=0,$E$44*$H$131,((12/$F$44)*$E$44)*$H$131)))</f>
        <v>0</v>
      </c>
      <c r="I127" s="200">
        <f>IF($E$44=0,0,IF(OR($F$44=5,$F$44=7,$F$44=8,$F$44=9,$F$44=10,$F$44=11,$F$44&gt;12),"#VALUE!",IF($F$44=0,$E$44*$I$131,((12/$F$44)*$E$44)*$I$131)))</f>
        <v>0</v>
      </c>
    </row>
    <row r="128" spans="2:9" s="188" customFormat="1" ht="16.5" hidden="1" customHeight="1" x14ac:dyDescent="0.2">
      <c r="B128" s="193" t="s">
        <v>12</v>
      </c>
      <c r="C128" s="194"/>
      <c r="E128" s="198">
        <f>IF(OR(AND($E$47&gt;0,$E$47&lt;1000),($E$47=0)),($E$47*$D$15)+$F$47, "#VALUE!")</f>
        <v>0</v>
      </c>
      <c r="F128" s="198">
        <f>IF(OR(AND($E$47&gt;0,$E$47&lt;1000),($E$47=0)),($E$47*$D$15)+$F$47, "#VALUE!")</f>
        <v>0</v>
      </c>
      <c r="G128" s="199">
        <f>IF(OR(AND($E$47&gt;0,$E$47&lt;1000),($E$47=0)),($E$47*$D$15)+$F$47, "#VALUE!")</f>
        <v>0</v>
      </c>
      <c r="H128" s="198">
        <f>IF(OR(AND($E$47&gt;0,$E$47&lt;1000),($E$47=0)),($E$47*$D$15)+$F$47, "#VALUE!")</f>
        <v>0</v>
      </c>
      <c r="I128" s="200">
        <f>IF(OR(AND($E$47&gt;0,$E$47&lt;1000),($E$47=0)),($E$47*$D$15)+$F$47, "#VALUE!")</f>
        <v>0</v>
      </c>
    </row>
    <row r="129" spans="2:9" s="188" customFormat="1" ht="16.5" hidden="1" customHeight="1" x14ac:dyDescent="0.2">
      <c r="B129" s="193" t="str">
        <f>IF(OR($F$50="D",$F$50="d"),"REFUND PERIOD-DAILY: ",IF(OR($F$50="W",$F$50="w"), "REFUND PERIOD=WEEKLY:",IF(OR($F$50="S",$F$50="s"),"REFUND PERIOD=SEMI:",IF(OR($F$50="M",$F$50="m"),"REFUND PERIOD=MONTHLY:", IF(OR($F$50=0, $F$50="N/A", $F$50="n/a"),"REFUND PERIOD=N/A:", "REFUND PERIOD.= " &amp; $F$50)))))</f>
        <v>REFUND PERIOD=WEEKLY:</v>
      </c>
      <c r="C129" s="194"/>
      <c r="E129" s="198">
        <f>IF(OR($F$50="D",$F$50="d"),(($D$19*2*$E$151)/365)*(1-$D$17),IF(OR($F$50="W",$F$50="w"),(($D$19*5.5*$E$151)/365)*(1-$D$17),IF(OR($F$50="S",$F$50="s"),(($D$19*9.5*$E$151)/365)*(1-$D$17),IF(OR($F$50="M",$F$50="m"),(($D$19*17.5*$E$151)/365)*(1-$D$17),IF(OR($F$50=0,$F$50="N/A",$F$50="n/a"),0,"#VALUE!")))))</f>
        <v>122.05479452054796</v>
      </c>
      <c r="F129" s="198">
        <f>IF(OR($F$50="D",$F$50="d"),(($D$19*2*$E$151)/365)*(1-$D$17),IF(OR($F$50="W",$F$50="w"),(($D$19*5.5*$E$151)/365)*(1-$D$17),IF(OR($F$50="S",$F$50="s"),(($D$19*9.5*$E$151)/365)*(1-$D$17),IF(OR($F$50="M",$F$50="m"),(($D$19*17.5*$E$151)/365)*(1-$D$17),IF(OR($F$50=0,$F$50="N/A",$F$50="n/a"),0,"#VALUE!")))))</f>
        <v>122.05479452054796</v>
      </c>
      <c r="G129" s="199">
        <f>IF(OR($F$50="D",$F$50="d"),(($D$19*2*$E$151)/365)*(1-$D$17),IF(OR($F$50="W",$F$50="w"),(($D$19*5.5*$E$151)/365)*(1-$D$17),IF(OR($F$50="S",$F$50="s"),(($D$19*9.5*$E$151)/365)*(1-$D$17),IF(OR($F$50="M",$F$50="m"),(($D$19*17.5*$E$151)/365)*(1-$D$17),IF(OR($F$50=0,$F$50="N/A",$F$50="n/a"),0,"#VALUE!")))))</f>
        <v>122.05479452054796</v>
      </c>
      <c r="H129" s="198">
        <f>IF(OR($F$50="D",$F$50="d"),(($D$19*2*$E$151)/365)*(1-$D$17),IF(OR($F$50="W",$F$50="w"),(($D$19*5.5*$E$151)/365)*(1-$D$17),IF(OR($F$50="S",$F$50="s"),(($D$19*9.5*$E$151)/365)*(1-$D$17),IF(OR($F$50="M",$F$50="m"),(($D$19*17.5*$E$151)/365)*(1-$D$17),IF(OR($F$50=0,$F$50="N/A",$F$50="n/a"),0,"#VALUE!")))))</f>
        <v>122.05479452054796</v>
      </c>
      <c r="I129" s="200">
        <f>IF(OR($F$50="D",$F$50="d"),(($D$19*2*$E$151)/365)*(1-$D$17),IF(OR($F$50="W",$F$50="w"),(($D$19*5.5*$E$151)/365)*(1-$D$17),IF(OR($F$50="S",$F$50="s"),(($D$19*9.5*$E$151)/365)*(1-$D$17),IF(OR($F$50="M",$F$50="m"),(($D$19*17.5*$E$151)/365)*(1-$D$17),IF(OR($F$50=0,$F$50="N/A",$F$50="n/a"),0,"#VALUE!")))))</f>
        <v>122.05479452054796</v>
      </c>
    </row>
    <row r="130" spans="2:9" s="188" customFormat="1" ht="16.5" hidden="1" customHeight="1" x14ac:dyDescent="0.2">
      <c r="B130" s="201" t="s">
        <v>11</v>
      </c>
      <c r="E130" s="198">
        <f>IF($D$19=0,0,($D$19/(365/$E$122)))</f>
        <v>32876.71232876712</v>
      </c>
      <c r="F130" s="198">
        <f>IF($D$19=0,0,($D$19/(365/$F$122)))</f>
        <v>41095.890410958906</v>
      </c>
      <c r="G130" s="199">
        <f>IF($D$19=0,0,($D$19/(365/$G$122)))</f>
        <v>49315.068493150684</v>
      </c>
      <c r="H130" s="198">
        <f>IF($D$19=0,0,($D$19/(365/$H$122)))</f>
        <v>57534.246575342462</v>
      </c>
      <c r="I130" s="200">
        <f>IF($D$19=0,0,$D$19/(365/$I$122))</f>
        <v>65753.42465753424</v>
      </c>
    </row>
    <row r="131" spans="2:9" s="188" customFormat="1" ht="16.5" hidden="1" customHeight="1" x14ac:dyDescent="0.2">
      <c r="B131" s="201" t="s">
        <v>21</v>
      </c>
      <c r="E131" s="198">
        <f>IF($D$19=0,0,($D$19/(365/$E$122)*$D$17))</f>
        <v>27945.205479452052</v>
      </c>
      <c r="F131" s="198">
        <f>IF($D$19=0,0,($D$19/(365/$F$122)*$D$17))</f>
        <v>34931.506849315068</v>
      </c>
      <c r="G131" s="199">
        <f>IF($D$19=0,0,($D$19/(365/$G$122)*$D$17))</f>
        <v>41917.808219178078</v>
      </c>
      <c r="H131" s="198">
        <f>IF($D$19=0,0,($D$19/(365/$H$122)*$D$17))</f>
        <v>48904.109589041094</v>
      </c>
      <c r="I131" s="200">
        <f>IF($D$19=0,0,($D$19/(365/$I$122)*$D$17))</f>
        <v>55890.410958904104</v>
      </c>
    </row>
    <row r="132" spans="2:9" s="188" customFormat="1" ht="16.5" hidden="1" customHeight="1" x14ac:dyDescent="0.2">
      <c r="B132" s="193" t="s">
        <v>55</v>
      </c>
      <c r="C132" s="194"/>
      <c r="E132" s="202">
        <f>SUM($E$123:$E$129)</f>
        <v>9122.0547945205471</v>
      </c>
      <c r="F132" s="202">
        <f>SUM($F$123:$F$129)</f>
        <v>9122.0547945205471</v>
      </c>
      <c r="G132" s="199">
        <f>SUM($G$123:$G$129)</f>
        <v>9122.0547945205471</v>
      </c>
      <c r="H132" s="202">
        <f>SUM($H$123:$H$129)</f>
        <v>18122.054794520547</v>
      </c>
      <c r="I132" s="203">
        <f>SUM($I$123:$I$129)</f>
        <v>18122.054794520547</v>
      </c>
    </row>
    <row r="133" spans="2:9" s="188" customFormat="1" ht="16.5" hidden="1" customHeight="1" x14ac:dyDescent="0.2">
      <c r="B133" s="193" t="s">
        <v>14</v>
      </c>
      <c r="C133" s="194"/>
      <c r="E133" s="204">
        <f>IF($D$19=0,0,$E$132/$E$131)</f>
        <v>0.32642647058823532</v>
      </c>
      <c r="F133" s="204">
        <f>IF($D$19=0,0,$F$132/$F$131)</f>
        <v>0.26114117647058821</v>
      </c>
      <c r="G133" s="205">
        <f>IF($D$19=0,0,$G$132/$G$131)</f>
        <v>0.21761764705882353</v>
      </c>
      <c r="H133" s="204">
        <f>IF($D$19=0,0,$H$132/$H$131)</f>
        <v>0.37056302521008405</v>
      </c>
      <c r="I133" s="206">
        <f>IF($D$19=0,0,$I$132/$I$131)</f>
        <v>0.32424264705882355</v>
      </c>
    </row>
    <row r="134" spans="2:9" s="188" customFormat="1" ht="10" hidden="1" customHeight="1" x14ac:dyDescent="0.2">
      <c r="B134" s="193"/>
      <c r="C134" s="194"/>
      <c r="E134" s="204"/>
      <c r="F134" s="204"/>
      <c r="G134" s="205"/>
      <c r="H134" s="204"/>
      <c r="I134" s="206"/>
    </row>
    <row r="135" spans="2:9" s="188" customFormat="1" ht="16.5" hidden="1" customHeight="1" x14ac:dyDescent="0.2">
      <c r="B135" s="207" t="s">
        <v>50</v>
      </c>
      <c r="C135" s="194"/>
      <c r="E135" s="204"/>
      <c r="F135" s="204"/>
      <c r="G135" s="205"/>
      <c r="H135" s="204"/>
      <c r="I135" s="206"/>
    </row>
    <row r="136" spans="2:9" s="188" customFormat="1" ht="16.5" hidden="1" customHeight="1" x14ac:dyDescent="0.2">
      <c r="B136" s="193" t="s">
        <v>31</v>
      </c>
      <c r="C136" s="194"/>
      <c r="E136" s="208">
        <f>$I$57</f>
        <v>0</v>
      </c>
      <c r="F136" s="208">
        <f>$I$57</f>
        <v>0</v>
      </c>
      <c r="G136" s="199">
        <f>$I$57</f>
        <v>0</v>
      </c>
      <c r="H136" s="208">
        <f>$I$57</f>
        <v>0</v>
      </c>
      <c r="I136" s="209">
        <f>$I$57</f>
        <v>0</v>
      </c>
    </row>
    <row r="137" spans="2:9" s="188" customFormat="1" ht="16.5" hidden="1" customHeight="1" x14ac:dyDescent="0.2">
      <c r="B137" s="193" t="s">
        <v>26</v>
      </c>
      <c r="C137" s="194"/>
      <c r="E137" s="208">
        <f>$I$60</f>
        <v>0</v>
      </c>
      <c r="F137" s="208">
        <f>$I$60</f>
        <v>0</v>
      </c>
      <c r="G137" s="199">
        <f>$I$60</f>
        <v>0</v>
      </c>
      <c r="H137" s="208">
        <f>$I$60</f>
        <v>0</v>
      </c>
      <c r="I137" s="209">
        <f>$I$60</f>
        <v>0</v>
      </c>
    </row>
    <row r="138" spans="2:9" s="188" customFormat="1" ht="16.5" hidden="1" customHeight="1" x14ac:dyDescent="0.2">
      <c r="B138" s="201" t="s">
        <v>52</v>
      </c>
      <c r="E138" s="208">
        <f>$H$21</f>
        <v>0</v>
      </c>
      <c r="F138" s="208">
        <f>$H$21</f>
        <v>0</v>
      </c>
      <c r="G138" s="199">
        <f>$H$21</f>
        <v>0</v>
      </c>
      <c r="H138" s="208">
        <f>$H$21</f>
        <v>0</v>
      </c>
      <c r="I138" s="209">
        <f>$H$21</f>
        <v>0</v>
      </c>
    </row>
    <row r="139" spans="2:9" s="188" customFormat="1" ht="16.5" hidden="1" customHeight="1" x14ac:dyDescent="0.2">
      <c r="B139" s="201" t="s">
        <v>53</v>
      </c>
      <c r="E139" s="208">
        <f>$H$17*$H$21</f>
        <v>0</v>
      </c>
      <c r="F139" s="208">
        <f>$H$17*$H$21</f>
        <v>0</v>
      </c>
      <c r="G139" s="199">
        <f>$H$17*$H$21</f>
        <v>0</v>
      </c>
      <c r="H139" s="208">
        <f>$H$17*$H$21</f>
        <v>0</v>
      </c>
      <c r="I139" s="209">
        <f>$H$17*$H$21</f>
        <v>0</v>
      </c>
    </row>
    <row r="140" spans="2:9" s="188" customFormat="1" ht="16.5" hidden="1" customHeight="1" x14ac:dyDescent="0.2">
      <c r="B140" s="193" t="s">
        <v>56</v>
      </c>
      <c r="C140" s="194"/>
      <c r="E140" s="199">
        <f>($G$136+$G$137)</f>
        <v>0</v>
      </c>
      <c r="F140" s="199">
        <f>($G$136+$G$137)</f>
        <v>0</v>
      </c>
      <c r="G140" s="199">
        <f>($G$136+$G$137)</f>
        <v>0</v>
      </c>
      <c r="H140" s="208">
        <f>($G$136+$G$137)</f>
        <v>0</v>
      </c>
      <c r="I140" s="209">
        <f>($G$136+$G$137)</f>
        <v>0</v>
      </c>
    </row>
    <row r="141" spans="2:9" s="188" customFormat="1" ht="16.5" hidden="1" customHeight="1" x14ac:dyDescent="0.2">
      <c r="B141" s="193" t="s">
        <v>14</v>
      </c>
      <c r="C141" s="194"/>
      <c r="E141" s="205">
        <f>IF($H$23=0,0,$G$140/$G$139)</f>
        <v>0</v>
      </c>
      <c r="F141" s="205">
        <f>IF($H$23=0,0,$G$140/$G$139)</f>
        <v>0</v>
      </c>
      <c r="G141" s="205">
        <f>IF($H$23=0,0,$G$140/$G$139)</f>
        <v>0</v>
      </c>
      <c r="H141" s="205">
        <f>IF($H$23=0,0,$G$140/$G$139)</f>
        <v>0</v>
      </c>
      <c r="I141" s="210">
        <f>IF($H$23=0,0,$G$140/$G$139)</f>
        <v>0</v>
      </c>
    </row>
    <row r="142" spans="2:9" s="188" customFormat="1" ht="10" hidden="1" customHeight="1" x14ac:dyDescent="0.2">
      <c r="B142" s="193"/>
      <c r="C142" s="194"/>
      <c r="E142" s="204"/>
      <c r="F142" s="204"/>
      <c r="G142" s="205"/>
      <c r="H142" s="204"/>
      <c r="I142" s="206"/>
    </row>
    <row r="143" spans="2:9" s="188" customFormat="1" ht="16.5" hidden="1" customHeight="1" x14ac:dyDescent="0.2">
      <c r="B143" s="207" t="s">
        <v>51</v>
      </c>
      <c r="C143" s="194"/>
      <c r="E143" s="204"/>
      <c r="F143" s="204"/>
      <c r="G143" s="205"/>
      <c r="H143" s="204"/>
      <c r="I143" s="206"/>
    </row>
    <row r="144" spans="2:9" s="188" customFormat="1" ht="16.5" hidden="1" customHeight="1" x14ac:dyDescent="0.2">
      <c r="B144" s="193" t="s">
        <v>13</v>
      </c>
      <c r="C144" s="194"/>
      <c r="E144" s="199">
        <f>$E$132+$E$140</f>
        <v>9122.0547945205471</v>
      </c>
      <c r="F144" s="199">
        <f>$F$132+$F$140</f>
        <v>9122.0547945205471</v>
      </c>
      <c r="G144" s="199">
        <f>$G$132+$G$140</f>
        <v>9122.0547945205471</v>
      </c>
      <c r="H144" s="199">
        <f>$H$132+$H$140</f>
        <v>18122.054794520547</v>
      </c>
      <c r="I144" s="211">
        <f>$I$132+$I140</f>
        <v>18122.054794520547</v>
      </c>
    </row>
    <row r="145" spans="2:9" s="212" customFormat="1" ht="16.5" hidden="1" customHeight="1" x14ac:dyDescent="0.2">
      <c r="B145" s="193" t="s">
        <v>14</v>
      </c>
      <c r="C145" s="194"/>
      <c r="D145" s="188"/>
      <c r="E145" s="205">
        <f>IF($E$133+$E$141=0,0,($E$132+$E$140)/($E$131+$E$139))</f>
        <v>0.32642647058823532</v>
      </c>
      <c r="F145" s="205">
        <f>IF($F$133+$F$141=0,0,($F$132+$F$140)/($F$131+$F$139))</f>
        <v>0.26114117647058821</v>
      </c>
      <c r="G145" s="205">
        <f>IF($G$133+$G$141=0,0,($G$132+$G$140)/($G$131+$G$139))</f>
        <v>0.21761764705882353</v>
      </c>
      <c r="H145" s="205">
        <f>IF($G$133+$H$141=0,0,($H$132+$H$140)/($H$131+$H$139))</f>
        <v>0.37056302521008405</v>
      </c>
      <c r="I145" s="210">
        <f>IF($I$133+$I$141=0,0,($I$132+$I$140)/($I$131+$I$139))</f>
        <v>0.32424264705882355</v>
      </c>
    </row>
    <row r="146" spans="2:9" s="188" customFormat="1" ht="16.5" hidden="1" customHeight="1" x14ac:dyDescent="0.2">
      <c r="B146" s="201" t="s">
        <v>22</v>
      </c>
      <c r="E146" s="198">
        <f>IF($E$69&gt;0,(-$E$69*($E$144-$E$129-$E$128))+$F$69,$F$69)</f>
        <v>0</v>
      </c>
      <c r="F146" s="198">
        <f>IF($E$69&gt;0,(-$E$69*($F$144-$F$129-$F$128))+$F$69,$F$69)</f>
        <v>0</v>
      </c>
      <c r="G146" s="199">
        <f>IF($E$69&gt;0,(-$E$69*($G$144-$G$129-$G$128))+$F$69,$F$69)</f>
        <v>0</v>
      </c>
      <c r="H146" s="198">
        <f>IF($E$69&gt;0,(-$E$69*($H$144-$H$129-$H$128))+$F$69,$F$69)</f>
        <v>0</v>
      </c>
      <c r="I146" s="200">
        <f>IF($E$69&gt;0,(-$E$69*($I$144-$I$129-$I$128))+$F$69,$F$69)</f>
        <v>0</v>
      </c>
    </row>
    <row r="147" spans="2:9" s="188" customFormat="1" ht="16.5" hidden="1" customHeight="1" x14ac:dyDescent="0.2">
      <c r="B147" s="193" t="s">
        <v>79</v>
      </c>
      <c r="C147" s="194"/>
      <c r="E147" s="199">
        <f>$E$144+$E$146</f>
        <v>9122.0547945205471</v>
      </c>
      <c r="F147" s="199">
        <f>$F$144+$F$146</f>
        <v>9122.0547945205471</v>
      </c>
      <c r="G147" s="199">
        <f>$G$144+$G$146</f>
        <v>9122.0547945205471</v>
      </c>
      <c r="H147" s="199">
        <f>$H$144+$H$146</f>
        <v>18122.054794520547</v>
      </c>
      <c r="I147" s="211">
        <f>$I$144+$I$146</f>
        <v>18122.054794520547</v>
      </c>
    </row>
    <row r="148" spans="2:9" s="212" customFormat="1" ht="16.5" hidden="1" customHeight="1" x14ac:dyDescent="0.2">
      <c r="B148" s="193" t="s">
        <v>80</v>
      </c>
      <c r="C148" s="194"/>
      <c r="D148" s="188"/>
      <c r="E148" s="205">
        <f>IF($E$133+$E$141=0,0,$E$147/($E$131+$E$139))</f>
        <v>0.32642647058823532</v>
      </c>
      <c r="F148" s="205">
        <f>IF($F$133+$F$141=0,0,$F$147/($F$131+$F$139))</f>
        <v>0.26114117647058821</v>
      </c>
      <c r="G148" s="205">
        <f>IF($G$133+G141=0,0,$G$147/($G$131+$G$139))</f>
        <v>0.21761764705882353</v>
      </c>
      <c r="H148" s="205">
        <f>IF($G$133+$G$141=0,0,$H$147/($H$131+$H$139))</f>
        <v>0.37056302521008405</v>
      </c>
      <c r="I148" s="213">
        <f>IF($I$133+$I$141=0,0,$I$147/($I$131+$I$139))</f>
        <v>0.32424264705882355</v>
      </c>
    </row>
    <row r="149" spans="2:9" s="212" customFormat="1" ht="16.5" hidden="1" customHeight="1" x14ac:dyDescent="0.2">
      <c r="B149" s="193"/>
      <c r="C149" s="194"/>
      <c r="D149" s="188"/>
      <c r="E149" s="204"/>
      <c r="F149" s="204"/>
      <c r="G149" s="205"/>
      <c r="H149" s="204"/>
      <c r="I149" s="206"/>
    </row>
    <row r="150" spans="2:9" s="212" customFormat="1" ht="16.5" hidden="1" customHeight="1" x14ac:dyDescent="0.15">
      <c r="B150" s="193" t="s">
        <v>33</v>
      </c>
      <c r="C150" s="194"/>
      <c r="D150" s="188"/>
      <c r="E150" s="214">
        <f>IF($G$95=1,12,IF($G$95=2,6,IF($G$95=3,4,IF($G$95=4,3,IF($G$95=6,2,IF($G$95=12,1))))))</f>
        <v>12</v>
      </c>
      <c r="F150" s="194"/>
      <c r="G150" s="188"/>
      <c r="H150" s="188"/>
      <c r="I150" s="215"/>
    </row>
    <row r="151" spans="2:9" ht="16.5" hidden="1" customHeight="1" x14ac:dyDescent="0.2">
      <c r="B151" s="193" t="s">
        <v>23</v>
      </c>
      <c r="C151" s="194"/>
      <c r="D151" s="34"/>
      <c r="E151" s="216">
        <v>0.09</v>
      </c>
      <c r="F151" s="34"/>
      <c r="G151" s="34"/>
      <c r="H151" s="34"/>
      <c r="I151" s="217"/>
    </row>
    <row r="152" spans="2:9" ht="16.5" hidden="1" customHeight="1" x14ac:dyDescent="0.2">
      <c r="B152" s="218"/>
      <c r="C152" s="219"/>
      <c r="D152" s="220"/>
      <c r="E152" s="221"/>
      <c r="F152" s="173"/>
      <c r="G152" s="173"/>
      <c r="H152" s="173"/>
      <c r="I152" s="222"/>
    </row>
    <row r="153" spans="2:9" ht="16.5" hidden="1" customHeight="1" x14ac:dyDescent="0.2">
      <c r="B153" s="223"/>
      <c r="C153" s="224"/>
      <c r="D153" s="225"/>
      <c r="E153" s="224"/>
      <c r="F153" s="226"/>
      <c r="G153" s="224"/>
      <c r="H153" s="224"/>
      <c r="I153" s="227"/>
    </row>
    <row r="154" spans="2:9" ht="16.5" hidden="1" customHeight="1" x14ac:dyDescent="0.2">
      <c r="B154" s="140"/>
      <c r="C154" s="140"/>
      <c r="D154" s="140"/>
      <c r="E154" s="173"/>
      <c r="F154" s="173"/>
      <c r="G154" s="173"/>
      <c r="H154" s="173"/>
      <c r="I154" s="173"/>
    </row>
    <row r="155" spans="2:9" ht="16.5" hidden="1" customHeight="1" x14ac:dyDescent="0.2">
      <c r="B155" s="34"/>
      <c r="C155" s="34"/>
      <c r="D155" s="34"/>
      <c r="E155" s="34"/>
      <c r="F155" s="34"/>
      <c r="G155" s="34"/>
      <c r="H155" s="34"/>
      <c r="I155" s="34"/>
    </row>
    <row r="156" spans="2:9" hidden="1" x14ac:dyDescent="0.2">
      <c r="B156" s="35"/>
      <c r="C156" s="35"/>
      <c r="D156" s="35"/>
      <c r="E156" s="35"/>
      <c r="F156" s="35"/>
      <c r="G156" s="35"/>
      <c r="H156" s="35"/>
      <c r="I156" s="35"/>
    </row>
    <row r="157" spans="2:9" hidden="1" x14ac:dyDescent="0.2">
      <c r="B157" s="35"/>
      <c r="C157" s="35"/>
      <c r="D157" s="35"/>
      <c r="E157" s="35"/>
      <c r="F157" s="35"/>
      <c r="G157" s="35"/>
      <c r="H157" s="35"/>
      <c r="I157" s="35"/>
    </row>
    <row r="158" spans="2:9" hidden="1" x14ac:dyDescent="0.2">
      <c r="B158" s="35"/>
      <c r="C158" s="35"/>
      <c r="D158" s="35"/>
      <c r="E158" s="35"/>
      <c r="F158" s="35"/>
      <c r="G158" s="35"/>
      <c r="H158" s="35"/>
      <c r="I158" s="35"/>
    </row>
    <row r="159" spans="2:9" hidden="1" x14ac:dyDescent="0.2"/>
  </sheetData>
  <mergeCells count="11">
    <mergeCell ref="B42:E42"/>
    <mergeCell ref="B45:E45"/>
    <mergeCell ref="B48:E48"/>
    <mergeCell ref="B1:I1"/>
    <mergeCell ref="E30:F30"/>
    <mergeCell ref="G30:H30"/>
    <mergeCell ref="B27:I27"/>
    <mergeCell ref="B2:I2"/>
    <mergeCell ref="B14:D14"/>
    <mergeCell ref="F14:H14"/>
    <mergeCell ref="F8:G8"/>
  </mergeCells>
  <phoneticPr fontId="0" type="noConversion"/>
  <printOptions horizontalCentered="1" verticalCentered="1"/>
  <pageMargins left="0.05" right="0.05" top="0.1" bottom="0.05" header="0.5" footer="0.5"/>
  <pageSetup scale="54" orientation="portrait" verticalDpi="180" r:id="rId1"/>
  <headerFooter alignWithMargins="0">
    <oddFooter xml:space="preserve">&amp;R 
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Model 11.0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DonnyC</dc:creator>
  <cp:lastModifiedBy>Microsoft Office User</cp:lastModifiedBy>
  <cp:lastPrinted>2016-10-07T16:49:06Z</cp:lastPrinted>
  <dcterms:created xsi:type="dcterms:W3CDTF">1999-09-20T01:43:54Z</dcterms:created>
  <dcterms:modified xsi:type="dcterms:W3CDTF">2017-03-06T20:03:25Z</dcterms:modified>
</cp:coreProperties>
</file>