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ement.nicolas\Documents\Connect Plus\MyTasks\Structures - Probabilistic Approach\Preparation30yearplan\"/>
    </mc:Choice>
  </mc:AlternateContent>
  <xr:revisionPtr revIDLastSave="0" documentId="13_ncr:1_{F3476989-6159-46EA-AADD-3CA1AD6114C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30YP_2020-21" sheetId="1" r:id="rId1"/>
    <sheet name="Estimated Expenditure" sheetId="2" r:id="rId2"/>
    <sheet name="Structures" sheetId="3" r:id="rId3"/>
    <sheet name="Adjustment" sheetId="4" r:id="rId4"/>
    <sheet name="Pavement" sheetId="5" r:id="rId5"/>
    <sheet name="5YP Impact - Adjustment" sheetId="6" r:id="rId6"/>
  </sheets>
  <externalReferences>
    <externalReference r:id="rId7"/>
  </externalReferences>
  <definedNames>
    <definedName name="_xlnm.Print_Area" localSheetId="0">'30YP_2020-21'!$A$1:$AG$173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9" i="2" l="1"/>
  <c r="B77" i="2" l="1"/>
  <c r="D127" i="1" l="1"/>
  <c r="D166" i="3" l="1"/>
  <c r="F159" i="3"/>
  <c r="U7" i="2" l="1"/>
  <c r="B87" i="2"/>
  <c r="B76" i="2"/>
  <c r="B6" i="2"/>
  <c r="B30" i="2" s="1"/>
  <c r="B31" i="2" s="1"/>
  <c r="B73" i="2"/>
  <c r="B74" i="2" l="1"/>
  <c r="V8" i="2" l="1"/>
  <c r="V6" i="2" s="1"/>
  <c r="H7" i="2"/>
  <c r="I7" i="2"/>
  <c r="J7" i="2"/>
  <c r="K7" i="2"/>
  <c r="L7" i="2"/>
  <c r="M7" i="2"/>
  <c r="N7" i="2"/>
  <c r="O7" i="2"/>
  <c r="P7" i="2"/>
  <c r="Q7" i="2"/>
  <c r="R7" i="2"/>
  <c r="S7" i="2"/>
  <c r="T7" i="2"/>
  <c r="G7" i="2"/>
  <c r="G25" i="2"/>
  <c r="G32" i="2" s="1"/>
  <c r="X125" i="1" l="1"/>
  <c r="G33" i="2" l="1"/>
  <c r="I126" i="1"/>
  <c r="M5" i="6" l="1"/>
  <c r="B13" i="6"/>
  <c r="B12" i="6"/>
  <c r="B10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I5" i="6"/>
  <c r="I4" i="6"/>
  <c r="I127" i="1" l="1"/>
  <c r="E126" i="1"/>
  <c r="F126" i="1"/>
  <c r="G126" i="1"/>
  <c r="H126" i="1"/>
  <c r="D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D124" i="1"/>
  <c r="D125" i="1" l="1"/>
  <c r="F104" i="3"/>
  <c r="F148" i="3"/>
  <c r="E11" i="3" l="1"/>
  <c r="O22" i="3"/>
  <c r="O21" i="3"/>
  <c r="O20" i="3"/>
  <c r="O19" i="3"/>
  <c r="O18" i="3"/>
  <c r="O17" i="3"/>
  <c r="O16" i="3"/>
  <c r="O15" i="3"/>
  <c r="O14" i="3"/>
  <c r="O13" i="3"/>
  <c r="F42" i="4" l="1"/>
  <c r="E42" i="4"/>
  <c r="C6" i="2"/>
  <c r="E125" i="1" s="1"/>
  <c r="D6" i="2"/>
  <c r="F125" i="1" s="1"/>
  <c r="E6" i="2"/>
  <c r="G125" i="1" s="1"/>
  <c r="F6" i="2"/>
  <c r="F74" i="2" s="1"/>
  <c r="S11" i="2"/>
  <c r="T11" i="2"/>
  <c r="G9" i="2"/>
  <c r="G104" i="3"/>
  <c r="H9" i="2" s="1"/>
  <c r="H104" i="3"/>
  <c r="I9" i="2" s="1"/>
  <c r="I104" i="3"/>
  <c r="J9" i="2" s="1"/>
  <c r="J104" i="3"/>
  <c r="K9" i="2" s="1"/>
  <c r="K104" i="3"/>
  <c r="L9" i="2" s="1"/>
  <c r="L104" i="3"/>
  <c r="M9" i="2" s="1"/>
  <c r="M104" i="3"/>
  <c r="N9" i="2" s="1"/>
  <c r="N104" i="3"/>
  <c r="O9" i="2" s="1"/>
  <c r="O104" i="3"/>
  <c r="P9" i="2" s="1"/>
  <c r="P104" i="3"/>
  <c r="Q9" i="2" s="1"/>
  <c r="Q104" i="3"/>
  <c r="R9" i="2" s="1"/>
  <c r="R104" i="3"/>
  <c r="S9" i="2" s="1"/>
  <c r="S104" i="3"/>
  <c r="T9" i="2" s="1"/>
  <c r="T104" i="3"/>
  <c r="U9" i="2" s="1"/>
  <c r="G105" i="3"/>
  <c r="H11" i="2" s="1"/>
  <c r="H105" i="3"/>
  <c r="I11" i="2" s="1"/>
  <c r="I105" i="3"/>
  <c r="J11" i="2" s="1"/>
  <c r="J105" i="3"/>
  <c r="K11" i="2" s="1"/>
  <c r="K105" i="3"/>
  <c r="L11" i="2" s="1"/>
  <c r="L105" i="3"/>
  <c r="M11" i="2" s="1"/>
  <c r="M105" i="3"/>
  <c r="N11" i="2" s="1"/>
  <c r="N105" i="3"/>
  <c r="O11" i="2" s="1"/>
  <c r="O105" i="3"/>
  <c r="P11" i="2" s="1"/>
  <c r="P105" i="3"/>
  <c r="Q11" i="2" s="1"/>
  <c r="Q105" i="3"/>
  <c r="R11" i="2" s="1"/>
  <c r="R105" i="3"/>
  <c r="S105" i="3"/>
  <c r="T105" i="3"/>
  <c r="U11" i="2" s="1"/>
  <c r="F105" i="3"/>
  <c r="F140" i="3"/>
  <c r="E136" i="3"/>
  <c r="L136" i="3"/>
  <c r="E135" i="3"/>
  <c r="S15" i="3"/>
  <c r="N18" i="3"/>
  <c r="B12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G77" i="2"/>
  <c r="I42" i="4"/>
  <c r="E2" i="3"/>
  <c r="F135" i="3"/>
  <c r="G135" i="3"/>
  <c r="G159" i="3" s="1"/>
  <c r="H10" i="2" s="1"/>
  <c r="H135" i="3"/>
  <c r="I135" i="3"/>
  <c r="J135" i="3"/>
  <c r="K135" i="3"/>
  <c r="L135" i="3"/>
  <c r="M135" i="3"/>
  <c r="M159" i="3" s="1"/>
  <c r="N10" i="2" s="1"/>
  <c r="N135" i="3"/>
  <c r="N159" i="3" s="1"/>
  <c r="O10" i="2" s="1"/>
  <c r="O135" i="3"/>
  <c r="O159" i="3" s="1"/>
  <c r="P10" i="2" s="1"/>
  <c r="P135" i="3"/>
  <c r="Q135" i="3"/>
  <c r="R135" i="3"/>
  <c r="S135" i="3"/>
  <c r="T135" i="3"/>
  <c r="F136" i="3"/>
  <c r="G136" i="3"/>
  <c r="H136" i="3"/>
  <c r="I136" i="3"/>
  <c r="J136" i="3"/>
  <c r="K136" i="3"/>
  <c r="M136" i="3"/>
  <c r="N136" i="3"/>
  <c r="O136" i="3"/>
  <c r="P136" i="3"/>
  <c r="Q136" i="3"/>
  <c r="R136" i="3"/>
  <c r="S136" i="3"/>
  <c r="T136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G148" i="3"/>
  <c r="H148" i="3"/>
  <c r="I148" i="3"/>
  <c r="I160" i="3" s="1"/>
  <c r="J12" i="2" s="1"/>
  <c r="J148" i="3"/>
  <c r="J160" i="3" s="1"/>
  <c r="K12" i="2" s="1"/>
  <c r="K148" i="3"/>
  <c r="L148" i="3"/>
  <c r="L160" i="3" s="1"/>
  <c r="M12" i="2" s="1"/>
  <c r="M148" i="3"/>
  <c r="M160" i="3" s="1"/>
  <c r="N12" i="2" s="1"/>
  <c r="N148" i="3"/>
  <c r="O148" i="3"/>
  <c r="P148" i="3"/>
  <c r="Q148" i="3"/>
  <c r="Q160" i="3" s="1"/>
  <c r="R12" i="2" s="1"/>
  <c r="R148" i="3"/>
  <c r="R160" i="3" s="1"/>
  <c r="S12" i="2" s="1"/>
  <c r="S148" i="3"/>
  <c r="T148" i="3"/>
  <c r="T160" i="3" s="1"/>
  <c r="U12" i="2" s="1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F13" i="3"/>
  <c r="G13" i="3"/>
  <c r="H13" i="3"/>
  <c r="I13" i="3"/>
  <c r="J13" i="3"/>
  <c r="K13" i="3"/>
  <c r="L13" i="3"/>
  <c r="M13" i="3"/>
  <c r="N13" i="3"/>
  <c r="P13" i="3"/>
  <c r="Q13" i="3"/>
  <c r="R13" i="3"/>
  <c r="S13" i="3"/>
  <c r="T13" i="3"/>
  <c r="F14" i="3"/>
  <c r="G14" i="3"/>
  <c r="H14" i="3"/>
  <c r="I14" i="3"/>
  <c r="J14" i="3"/>
  <c r="K14" i="3"/>
  <c r="L14" i="3"/>
  <c r="M14" i="3"/>
  <c r="N14" i="3"/>
  <c r="P14" i="3"/>
  <c r="Q14" i="3"/>
  <c r="R14" i="3"/>
  <c r="S14" i="3"/>
  <c r="T14" i="3"/>
  <c r="F15" i="3"/>
  <c r="G15" i="3"/>
  <c r="H15" i="3"/>
  <c r="I15" i="3"/>
  <c r="J15" i="3"/>
  <c r="K15" i="3"/>
  <c r="L15" i="3"/>
  <c r="M15" i="3"/>
  <c r="N15" i="3"/>
  <c r="P15" i="3"/>
  <c r="Q15" i="3"/>
  <c r="R15" i="3"/>
  <c r="T15" i="3"/>
  <c r="F16" i="3"/>
  <c r="G16" i="3"/>
  <c r="H16" i="3"/>
  <c r="I16" i="3"/>
  <c r="J16" i="3"/>
  <c r="K16" i="3"/>
  <c r="L16" i="3"/>
  <c r="M16" i="3"/>
  <c r="N16" i="3"/>
  <c r="P16" i="3"/>
  <c r="Q16" i="3"/>
  <c r="R16" i="3"/>
  <c r="S16" i="3"/>
  <c r="T16" i="3"/>
  <c r="F17" i="3"/>
  <c r="G17" i="3"/>
  <c r="H17" i="3"/>
  <c r="I17" i="3"/>
  <c r="J17" i="3"/>
  <c r="K17" i="3"/>
  <c r="L17" i="3"/>
  <c r="M17" i="3"/>
  <c r="N17" i="3"/>
  <c r="P17" i="3"/>
  <c r="Q17" i="3"/>
  <c r="R17" i="3"/>
  <c r="S17" i="3"/>
  <c r="T17" i="3"/>
  <c r="F18" i="3"/>
  <c r="G18" i="3"/>
  <c r="H18" i="3"/>
  <c r="I18" i="3"/>
  <c r="J18" i="3"/>
  <c r="K18" i="3"/>
  <c r="L18" i="3"/>
  <c r="M18" i="3"/>
  <c r="P18" i="3"/>
  <c r="Q18" i="3"/>
  <c r="R18" i="3"/>
  <c r="S18" i="3"/>
  <c r="T18" i="3"/>
  <c r="F19" i="3"/>
  <c r="G19" i="3"/>
  <c r="H19" i="3"/>
  <c r="I19" i="3"/>
  <c r="J19" i="3"/>
  <c r="K19" i="3"/>
  <c r="L19" i="3"/>
  <c r="M19" i="3"/>
  <c r="N19" i="3"/>
  <c r="P19" i="3"/>
  <c r="Q19" i="3"/>
  <c r="R19" i="3"/>
  <c r="S19" i="3"/>
  <c r="T19" i="3"/>
  <c r="F20" i="3"/>
  <c r="G20" i="3"/>
  <c r="H20" i="3"/>
  <c r="I20" i="3"/>
  <c r="J20" i="3"/>
  <c r="K20" i="3"/>
  <c r="L20" i="3"/>
  <c r="M20" i="3"/>
  <c r="N20" i="3"/>
  <c r="P20" i="3"/>
  <c r="Q20" i="3"/>
  <c r="R20" i="3"/>
  <c r="S20" i="3"/>
  <c r="T20" i="3"/>
  <c r="F21" i="3"/>
  <c r="G21" i="3"/>
  <c r="H21" i="3"/>
  <c r="I21" i="3"/>
  <c r="J21" i="3"/>
  <c r="K21" i="3"/>
  <c r="L21" i="3"/>
  <c r="M21" i="3"/>
  <c r="N21" i="3"/>
  <c r="P21" i="3"/>
  <c r="Q21" i="3"/>
  <c r="R21" i="3"/>
  <c r="S21" i="3"/>
  <c r="T21" i="3"/>
  <c r="F22" i="3"/>
  <c r="G22" i="3"/>
  <c r="H22" i="3"/>
  <c r="I22" i="3"/>
  <c r="J22" i="3"/>
  <c r="K22" i="3"/>
  <c r="L22" i="3"/>
  <c r="M22" i="3"/>
  <c r="N22" i="3"/>
  <c r="P22" i="3"/>
  <c r="Q22" i="3"/>
  <c r="R22" i="3"/>
  <c r="S22" i="3"/>
  <c r="T22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B18" i="2"/>
  <c r="P125" i="1" l="1"/>
  <c r="N6" i="2"/>
  <c r="N74" i="2" s="1"/>
  <c r="E30" i="2"/>
  <c r="E74" i="2"/>
  <c r="C74" i="2"/>
  <c r="D128" i="1"/>
  <c r="D30" i="2"/>
  <c r="C30" i="2"/>
  <c r="F30" i="2"/>
  <c r="H125" i="1"/>
  <c r="D129" i="1"/>
  <c r="B32" i="2"/>
  <c r="Q159" i="3"/>
  <c r="R10" i="2" s="1"/>
  <c r="T125" i="1" s="1"/>
  <c r="I159" i="3"/>
  <c r="J10" i="2" s="1"/>
  <c r="L125" i="1" s="1"/>
  <c r="S159" i="3"/>
  <c r="T10" i="2" s="1"/>
  <c r="K159" i="3"/>
  <c r="L10" i="2" s="1"/>
  <c r="J159" i="3"/>
  <c r="K10" i="2" s="1"/>
  <c r="K6" i="2" s="1"/>
  <c r="R159" i="3"/>
  <c r="S10" i="2" s="1"/>
  <c r="S6" i="2" s="1"/>
  <c r="P160" i="3"/>
  <c r="Q12" i="2" s="1"/>
  <c r="G160" i="3"/>
  <c r="H12" i="2" s="1"/>
  <c r="H6" i="2" s="1"/>
  <c r="N160" i="3"/>
  <c r="O12" i="2" s="1"/>
  <c r="O6" i="2" s="1"/>
  <c r="G11" i="2"/>
  <c r="F160" i="3"/>
  <c r="G12" i="2" s="1"/>
  <c r="H160" i="3"/>
  <c r="I12" i="2" s="1"/>
  <c r="O160" i="3"/>
  <c r="P12" i="2" s="1"/>
  <c r="R125" i="1" s="1"/>
  <c r="S160" i="3"/>
  <c r="T12" i="2" s="1"/>
  <c r="K160" i="3"/>
  <c r="L12" i="2" s="1"/>
  <c r="T159" i="3"/>
  <c r="U10" i="2" s="1"/>
  <c r="W125" i="1" s="1"/>
  <c r="L159" i="3"/>
  <c r="M10" i="2" s="1"/>
  <c r="O125" i="1" s="1"/>
  <c r="H159" i="3"/>
  <c r="I10" i="2" s="1"/>
  <c r="K125" i="1" s="1"/>
  <c r="P159" i="3"/>
  <c r="Q10" i="2" s="1"/>
  <c r="G10" i="2"/>
  <c r="D74" i="2"/>
  <c r="B35" i="2" l="1"/>
  <c r="B33" i="2"/>
  <c r="V125" i="1"/>
  <c r="J125" i="1"/>
  <c r="Q6" i="2"/>
  <c r="G6" i="2"/>
  <c r="G30" i="2" s="1"/>
  <c r="G35" i="2" s="1"/>
  <c r="G36" i="2" s="1"/>
  <c r="N125" i="1"/>
  <c r="T6" i="2"/>
  <c r="J6" i="2"/>
  <c r="J30" i="2" s="1"/>
  <c r="R6" i="2"/>
  <c r="R30" i="2" s="1"/>
  <c r="U125" i="1"/>
  <c r="P6" i="2"/>
  <c r="P30" i="2" s="1"/>
  <c r="I125" i="1"/>
  <c r="I129" i="1" s="1"/>
  <c r="I6" i="2"/>
  <c r="I30" i="2" s="1"/>
  <c r="L6" i="2"/>
  <c r="L74" i="2" s="1"/>
  <c r="M6" i="2"/>
  <c r="M74" i="2" s="1"/>
  <c r="L30" i="2"/>
  <c r="Q125" i="1"/>
  <c r="S125" i="1"/>
  <c r="M125" i="1"/>
  <c r="U6" i="2"/>
  <c r="U74" i="2" s="1"/>
  <c r="H30" i="2"/>
  <c r="T30" i="2"/>
  <c r="N30" i="2"/>
  <c r="Q74" i="2"/>
  <c r="H74" i="2"/>
  <c r="O30" i="2"/>
  <c r="S74" i="2"/>
  <c r="S30" i="2"/>
  <c r="K74" i="2"/>
  <c r="K30" i="2"/>
  <c r="G74" i="2"/>
  <c r="U30" i="2"/>
  <c r="H25" i="1"/>
  <c r="O25" i="1"/>
  <c r="W25" i="1"/>
  <c r="K26" i="1"/>
  <c r="P26" i="1"/>
  <c r="S26" i="1"/>
  <c r="I27" i="1"/>
  <c r="L27" i="1"/>
  <c r="Q27" i="1"/>
  <c r="T27" i="1"/>
  <c r="J28" i="1"/>
  <c r="M28" i="1"/>
  <c r="R28" i="1"/>
  <c r="U28" i="1"/>
  <c r="K29" i="1"/>
  <c r="N29" i="1"/>
  <c r="S29" i="1"/>
  <c r="V29" i="1"/>
  <c r="L30" i="1"/>
  <c r="O30" i="1"/>
  <c r="T30" i="1"/>
  <c r="W30" i="1"/>
  <c r="M31" i="1"/>
  <c r="P31" i="1"/>
  <c r="U31" i="1"/>
  <c r="I32" i="1"/>
  <c r="N32" i="1"/>
  <c r="Q32" i="1"/>
  <c r="V32" i="1"/>
  <c r="I33" i="1"/>
  <c r="J33" i="1"/>
  <c r="O33" i="1"/>
  <c r="R33" i="1"/>
  <c r="W33" i="1"/>
  <c r="K34" i="1"/>
  <c r="P34" i="1"/>
  <c r="S34" i="1"/>
  <c r="I35" i="1"/>
  <c r="K35" i="1"/>
  <c r="L35" i="1"/>
  <c r="Q35" i="1"/>
  <c r="T35" i="1"/>
  <c r="J36" i="1"/>
  <c r="M36" i="1"/>
  <c r="R36" i="1"/>
  <c r="U36" i="1"/>
  <c r="I37" i="1"/>
  <c r="K37" i="1"/>
  <c r="L37" i="1"/>
  <c r="N37" i="1"/>
  <c r="S37" i="1"/>
  <c r="T37" i="1"/>
  <c r="V37" i="1"/>
  <c r="L38" i="1"/>
  <c r="M38" i="1"/>
  <c r="O38" i="1"/>
  <c r="S38" i="1"/>
  <c r="T38" i="1"/>
  <c r="U38" i="1"/>
  <c r="W38" i="1"/>
  <c r="M39" i="1"/>
  <c r="N39" i="1"/>
  <c r="P39" i="1"/>
  <c r="U39" i="1"/>
  <c r="V39" i="1"/>
  <c r="I40" i="1"/>
  <c r="N40" i="1"/>
  <c r="O40" i="1"/>
  <c r="Q40" i="1"/>
  <c r="U40" i="1"/>
  <c r="V40" i="1"/>
  <c r="W40" i="1"/>
  <c r="J41" i="1"/>
  <c r="O41" i="1"/>
  <c r="P41" i="1"/>
  <c r="R41" i="1"/>
  <c r="W41" i="1"/>
  <c r="I42" i="1"/>
  <c r="K42" i="1"/>
  <c r="P42" i="1"/>
  <c r="Q42" i="1"/>
  <c r="S42" i="1"/>
  <c r="W42" i="1"/>
  <c r="I43" i="1"/>
  <c r="J43" i="1"/>
  <c r="L43" i="1"/>
  <c r="Q43" i="1"/>
  <c r="R43" i="1"/>
  <c r="T43" i="1"/>
  <c r="J44" i="1"/>
  <c r="K44" i="1"/>
  <c r="M44" i="1"/>
  <c r="R44" i="1"/>
  <c r="S44" i="1"/>
  <c r="U44" i="1"/>
  <c r="J45" i="1"/>
  <c r="K45" i="1"/>
  <c r="L45" i="1"/>
  <c r="N45" i="1"/>
  <c r="S45" i="1"/>
  <c r="T45" i="1"/>
  <c r="V45" i="1"/>
  <c r="L46" i="1"/>
  <c r="M46" i="1"/>
  <c r="O46" i="1"/>
  <c r="T46" i="1"/>
  <c r="U46" i="1"/>
  <c r="W46" i="1"/>
  <c r="I47" i="1"/>
  <c r="L47" i="1"/>
  <c r="M47" i="1"/>
  <c r="N47" i="1"/>
  <c r="P47" i="1"/>
  <c r="Q47" i="1"/>
  <c r="U47" i="1"/>
  <c r="V47" i="1"/>
  <c r="H26" i="1"/>
  <c r="H27" i="1"/>
  <c r="H32" i="1"/>
  <c r="H34" i="1"/>
  <c r="H35" i="1"/>
  <c r="H38" i="1"/>
  <c r="H40" i="1"/>
  <c r="H42" i="1"/>
  <c r="H43" i="1"/>
  <c r="I25" i="1"/>
  <c r="J25" i="1"/>
  <c r="K25" i="1"/>
  <c r="L25" i="1"/>
  <c r="M25" i="1"/>
  <c r="N25" i="1"/>
  <c r="P25" i="1"/>
  <c r="Q25" i="1"/>
  <c r="R25" i="1"/>
  <c r="S25" i="1"/>
  <c r="T25" i="1"/>
  <c r="U25" i="1"/>
  <c r="V25" i="1"/>
  <c r="I26" i="1"/>
  <c r="J26" i="1"/>
  <c r="L26" i="1"/>
  <c r="M26" i="1"/>
  <c r="N26" i="1"/>
  <c r="O26" i="1"/>
  <c r="Q26" i="1"/>
  <c r="R26" i="1"/>
  <c r="T26" i="1"/>
  <c r="U26" i="1"/>
  <c r="V26" i="1"/>
  <c r="W26" i="1"/>
  <c r="J27" i="1"/>
  <c r="K27" i="1"/>
  <c r="M27" i="1"/>
  <c r="N27" i="1"/>
  <c r="O27" i="1"/>
  <c r="P27" i="1"/>
  <c r="R27" i="1"/>
  <c r="S27" i="1"/>
  <c r="U27" i="1"/>
  <c r="V27" i="1"/>
  <c r="W27" i="1"/>
  <c r="I28" i="1"/>
  <c r="K28" i="1"/>
  <c r="L28" i="1"/>
  <c r="N28" i="1"/>
  <c r="O28" i="1"/>
  <c r="P28" i="1"/>
  <c r="Q28" i="1"/>
  <c r="S28" i="1"/>
  <c r="T28" i="1"/>
  <c r="V28" i="1"/>
  <c r="W28" i="1"/>
  <c r="I29" i="1"/>
  <c r="J29" i="1"/>
  <c r="L29" i="1"/>
  <c r="M29" i="1"/>
  <c r="O29" i="1"/>
  <c r="P29" i="1"/>
  <c r="Q29" i="1"/>
  <c r="R29" i="1"/>
  <c r="T29" i="1"/>
  <c r="U29" i="1"/>
  <c r="W29" i="1"/>
  <c r="I30" i="1"/>
  <c r="J30" i="1"/>
  <c r="K30" i="1"/>
  <c r="M30" i="1"/>
  <c r="N30" i="1"/>
  <c r="P30" i="1"/>
  <c r="Q30" i="1"/>
  <c r="R30" i="1"/>
  <c r="S30" i="1"/>
  <c r="U30" i="1"/>
  <c r="V30" i="1"/>
  <c r="I31" i="1"/>
  <c r="J31" i="1"/>
  <c r="K31" i="1"/>
  <c r="L31" i="1"/>
  <c r="N31" i="1"/>
  <c r="O31" i="1"/>
  <c r="Q31" i="1"/>
  <c r="R31" i="1"/>
  <c r="S31" i="1"/>
  <c r="T31" i="1"/>
  <c r="V31" i="1"/>
  <c r="W31" i="1"/>
  <c r="J32" i="1"/>
  <c r="K32" i="1"/>
  <c r="L32" i="1"/>
  <c r="M32" i="1"/>
  <c r="O32" i="1"/>
  <c r="P32" i="1"/>
  <c r="R32" i="1"/>
  <c r="S32" i="1"/>
  <c r="T32" i="1"/>
  <c r="U32" i="1"/>
  <c r="W32" i="1"/>
  <c r="K33" i="1"/>
  <c r="L33" i="1"/>
  <c r="M33" i="1"/>
  <c r="N33" i="1"/>
  <c r="P33" i="1"/>
  <c r="Q33" i="1"/>
  <c r="S33" i="1"/>
  <c r="T33" i="1"/>
  <c r="U33" i="1"/>
  <c r="V33" i="1"/>
  <c r="I34" i="1"/>
  <c r="J34" i="1"/>
  <c r="L34" i="1"/>
  <c r="M34" i="1"/>
  <c r="N34" i="1"/>
  <c r="O34" i="1"/>
  <c r="Q34" i="1"/>
  <c r="R34" i="1"/>
  <c r="T34" i="1"/>
  <c r="U34" i="1"/>
  <c r="V34" i="1"/>
  <c r="W34" i="1"/>
  <c r="J35" i="1"/>
  <c r="M35" i="1"/>
  <c r="N35" i="1"/>
  <c r="O35" i="1"/>
  <c r="P35" i="1"/>
  <c r="R35" i="1"/>
  <c r="S35" i="1"/>
  <c r="U35" i="1"/>
  <c r="V35" i="1"/>
  <c r="W35" i="1"/>
  <c r="I36" i="1"/>
  <c r="K36" i="1"/>
  <c r="L36" i="1"/>
  <c r="N36" i="1"/>
  <c r="O36" i="1"/>
  <c r="P36" i="1"/>
  <c r="Q36" i="1"/>
  <c r="S36" i="1"/>
  <c r="T36" i="1"/>
  <c r="V36" i="1"/>
  <c r="W36" i="1"/>
  <c r="J37" i="1"/>
  <c r="M37" i="1"/>
  <c r="O37" i="1"/>
  <c r="P37" i="1"/>
  <c r="Q37" i="1"/>
  <c r="R37" i="1"/>
  <c r="U37" i="1"/>
  <c r="W37" i="1"/>
  <c r="I38" i="1"/>
  <c r="J38" i="1"/>
  <c r="K38" i="1"/>
  <c r="N38" i="1"/>
  <c r="P38" i="1"/>
  <c r="Q38" i="1"/>
  <c r="R38" i="1"/>
  <c r="V38" i="1"/>
  <c r="I39" i="1"/>
  <c r="J39" i="1"/>
  <c r="K39" i="1"/>
  <c r="L39" i="1"/>
  <c r="O39" i="1"/>
  <c r="Q39" i="1"/>
  <c r="R39" i="1"/>
  <c r="S39" i="1"/>
  <c r="T39" i="1"/>
  <c r="W39" i="1"/>
  <c r="J40" i="1"/>
  <c r="K40" i="1"/>
  <c r="L40" i="1"/>
  <c r="M40" i="1"/>
  <c r="P40" i="1"/>
  <c r="R40" i="1"/>
  <c r="S40" i="1"/>
  <c r="T40" i="1"/>
  <c r="I41" i="1"/>
  <c r="K41" i="1"/>
  <c r="L41" i="1"/>
  <c r="M41" i="1"/>
  <c r="N41" i="1"/>
  <c r="Q41" i="1"/>
  <c r="S41" i="1"/>
  <c r="T41" i="1"/>
  <c r="U41" i="1"/>
  <c r="V41" i="1"/>
  <c r="J42" i="1"/>
  <c r="L42" i="1"/>
  <c r="M42" i="1"/>
  <c r="N42" i="1"/>
  <c r="O42" i="1"/>
  <c r="R42" i="1"/>
  <c r="T42" i="1"/>
  <c r="U42" i="1"/>
  <c r="V42" i="1"/>
  <c r="K43" i="1"/>
  <c r="M43" i="1"/>
  <c r="N43" i="1"/>
  <c r="O43" i="1"/>
  <c r="P43" i="1"/>
  <c r="S43" i="1"/>
  <c r="U43" i="1"/>
  <c r="V43" i="1"/>
  <c r="W43" i="1"/>
  <c r="I44" i="1"/>
  <c r="L44" i="1"/>
  <c r="N44" i="1"/>
  <c r="O44" i="1"/>
  <c r="P44" i="1"/>
  <c r="Q44" i="1"/>
  <c r="T44" i="1"/>
  <c r="V44" i="1"/>
  <c r="W44" i="1"/>
  <c r="I45" i="1"/>
  <c r="M45" i="1"/>
  <c r="O45" i="1"/>
  <c r="P45" i="1"/>
  <c r="Q45" i="1"/>
  <c r="R45" i="1"/>
  <c r="U45" i="1"/>
  <c r="W45" i="1"/>
  <c r="I46" i="1"/>
  <c r="J46" i="1"/>
  <c r="K46" i="1"/>
  <c r="N46" i="1"/>
  <c r="P46" i="1"/>
  <c r="Q46" i="1"/>
  <c r="R46" i="1"/>
  <c r="S46" i="1"/>
  <c r="V46" i="1"/>
  <c r="J47" i="1"/>
  <c r="K47" i="1"/>
  <c r="O47" i="1"/>
  <c r="R47" i="1"/>
  <c r="S47" i="1"/>
  <c r="T47" i="1"/>
  <c r="W47" i="1"/>
  <c r="H28" i="1"/>
  <c r="H29" i="1"/>
  <c r="H30" i="1"/>
  <c r="H31" i="1"/>
  <c r="H33" i="1"/>
  <c r="H36" i="1"/>
  <c r="H37" i="1"/>
  <c r="H39" i="1"/>
  <c r="H41" i="1"/>
  <c r="H44" i="1"/>
  <c r="H45" i="1"/>
  <c r="H46" i="1"/>
  <c r="H47" i="1"/>
  <c r="M42" i="4"/>
  <c r="X20" i="5"/>
  <c r="Y20" i="5"/>
  <c r="Z20" i="5"/>
  <c r="AA20" i="5"/>
  <c r="AB20" i="5"/>
  <c r="AC20" i="5"/>
  <c r="AD20" i="5"/>
  <c r="AE20" i="5"/>
  <c r="W20" i="5"/>
  <c r="V19" i="5"/>
  <c r="AE19" i="5"/>
  <c r="Y5" i="1"/>
  <c r="Z5" i="1"/>
  <c r="AA5" i="1"/>
  <c r="AB5" i="1"/>
  <c r="AC5" i="1"/>
  <c r="AD5" i="1"/>
  <c r="AE5" i="1"/>
  <c r="AF5" i="1"/>
  <c r="Y6" i="1"/>
  <c r="Z6" i="1"/>
  <c r="AA6" i="1"/>
  <c r="AB6" i="1"/>
  <c r="AC6" i="1"/>
  <c r="AD6" i="1"/>
  <c r="AE6" i="1"/>
  <c r="AF6" i="1"/>
  <c r="Y7" i="1"/>
  <c r="Z7" i="1"/>
  <c r="AA7" i="1"/>
  <c r="AB7" i="1"/>
  <c r="AC7" i="1"/>
  <c r="AD7" i="1"/>
  <c r="AE7" i="1"/>
  <c r="AF7" i="1"/>
  <c r="Y8" i="1"/>
  <c r="Z8" i="1"/>
  <c r="AA8" i="1"/>
  <c r="AB8" i="1"/>
  <c r="AC8" i="1"/>
  <c r="AD8" i="1"/>
  <c r="AE8" i="1"/>
  <c r="AF8" i="1"/>
  <c r="Y9" i="1"/>
  <c r="Z9" i="1"/>
  <c r="AA9" i="1"/>
  <c r="AB9" i="1"/>
  <c r="AC9" i="1"/>
  <c r="AD9" i="1"/>
  <c r="AE9" i="1"/>
  <c r="AF9" i="1"/>
  <c r="Y10" i="1"/>
  <c r="Z10" i="1"/>
  <c r="AA10" i="1"/>
  <c r="AB10" i="1"/>
  <c r="AC10" i="1"/>
  <c r="AD10" i="1"/>
  <c r="AE10" i="1"/>
  <c r="AF10" i="1"/>
  <c r="Y11" i="1"/>
  <c r="Z11" i="1"/>
  <c r="AA11" i="1"/>
  <c r="AB11" i="1"/>
  <c r="AC11" i="1"/>
  <c r="AD11" i="1"/>
  <c r="AE11" i="1"/>
  <c r="AF11" i="1"/>
  <c r="Y12" i="1"/>
  <c r="Z12" i="1"/>
  <c r="AA12" i="1"/>
  <c r="AB12" i="1"/>
  <c r="AC12" i="1"/>
  <c r="AD12" i="1"/>
  <c r="AE12" i="1"/>
  <c r="AF12" i="1"/>
  <c r="Y13" i="1"/>
  <c r="Z13" i="1"/>
  <c r="AA13" i="1"/>
  <c r="AB13" i="1"/>
  <c r="AC13" i="1"/>
  <c r="AD13" i="1"/>
  <c r="AE13" i="1"/>
  <c r="AF13" i="1"/>
  <c r="Y14" i="1"/>
  <c r="Z14" i="1"/>
  <c r="AA14" i="1"/>
  <c r="AB14" i="1"/>
  <c r="AC14" i="1"/>
  <c r="AD14" i="1"/>
  <c r="AE14" i="1"/>
  <c r="AF14" i="1"/>
  <c r="Y15" i="1"/>
  <c r="Z15" i="1"/>
  <c r="AA15" i="1"/>
  <c r="AB15" i="1"/>
  <c r="AC15" i="1"/>
  <c r="AD15" i="1"/>
  <c r="AE15" i="1"/>
  <c r="AF15" i="1"/>
  <c r="X15" i="1"/>
  <c r="X6" i="1"/>
  <c r="X7" i="1"/>
  <c r="X8" i="1"/>
  <c r="X9" i="1"/>
  <c r="X10" i="1"/>
  <c r="X11" i="1"/>
  <c r="X12" i="1"/>
  <c r="X13" i="1"/>
  <c r="X14" i="1"/>
  <c r="X5" i="1"/>
  <c r="X27" i="5"/>
  <c r="Y27" i="5"/>
  <c r="Z27" i="5"/>
  <c r="AA27" i="5"/>
  <c r="AB27" i="5"/>
  <c r="AC27" i="5"/>
  <c r="AD27" i="5"/>
  <c r="AE27" i="5"/>
  <c r="X28" i="5"/>
  <c r="Y28" i="5"/>
  <c r="Z28" i="5"/>
  <c r="AA28" i="5"/>
  <c r="AB28" i="5"/>
  <c r="AC28" i="5"/>
  <c r="AD28" i="5"/>
  <c r="AE28" i="5"/>
  <c r="X29" i="5"/>
  <c r="Y29" i="5"/>
  <c r="Z29" i="5"/>
  <c r="AA29" i="5"/>
  <c r="AB29" i="5"/>
  <c r="AC29" i="5"/>
  <c r="AD29" i="5"/>
  <c r="AE29" i="5"/>
  <c r="W28" i="5"/>
  <c r="W29" i="5"/>
  <c r="W27" i="5"/>
  <c r="AF25" i="5"/>
  <c r="X26" i="5" s="1"/>
  <c r="W26" i="5"/>
  <c r="AE18" i="2"/>
  <c r="AE21" i="2"/>
  <c r="AE20" i="2"/>
  <c r="AE19" i="2"/>
  <c r="C122" i="2"/>
  <c r="D122" i="2" s="1"/>
  <c r="E122" i="2" s="1"/>
  <c r="F122" i="2" s="1"/>
  <c r="G122" i="2" s="1"/>
  <c r="H122" i="2" s="1"/>
  <c r="I122" i="2" s="1"/>
  <c r="J122" i="2" s="1"/>
  <c r="K122" i="2" s="1"/>
  <c r="L122" i="2" s="1"/>
  <c r="M122" i="2" s="1"/>
  <c r="N122" i="2" s="1"/>
  <c r="O122" i="2" s="1"/>
  <c r="P122" i="2" s="1"/>
  <c r="Q122" i="2" s="1"/>
  <c r="R122" i="2" s="1"/>
  <c r="S122" i="2" s="1"/>
  <c r="T122" i="2" s="1"/>
  <c r="S118" i="2"/>
  <c r="T118" i="2"/>
  <c r="O118" i="2"/>
  <c r="P118" i="2"/>
  <c r="Q118" i="2"/>
  <c r="R118" i="2"/>
  <c r="K118" i="2"/>
  <c r="L118" i="2"/>
  <c r="M118" i="2"/>
  <c r="N118" i="2"/>
  <c r="C118" i="2"/>
  <c r="D118" i="2"/>
  <c r="E118" i="2"/>
  <c r="F118" i="2"/>
  <c r="G118" i="2"/>
  <c r="H118" i="2"/>
  <c r="I118" i="2"/>
  <c r="J118" i="2"/>
  <c r="B118" i="2"/>
  <c r="J74" i="2" l="1"/>
  <c r="AE76" i="2"/>
  <c r="AE85" i="2" s="1"/>
  <c r="M30" i="2"/>
  <c r="R74" i="2"/>
  <c r="P74" i="2"/>
  <c r="G31" i="2"/>
  <c r="T74" i="2"/>
  <c r="I74" i="2"/>
  <c r="O74" i="2"/>
  <c r="AG128" i="1"/>
  <c r="AE75" i="2"/>
  <c r="AE84" i="2" s="1"/>
  <c r="Q30" i="2"/>
  <c r="W19" i="5"/>
  <c r="X19" i="5"/>
  <c r="Y19" i="5"/>
  <c r="Z19" i="5"/>
  <c r="AA19" i="5"/>
  <c r="AB19" i="5"/>
  <c r="AC19" i="5"/>
  <c r="AD19" i="5"/>
  <c r="Y26" i="5"/>
  <c r="Z26" i="5"/>
  <c r="AA26" i="5"/>
  <c r="AB26" i="5"/>
  <c r="AC26" i="5"/>
  <c r="AD26" i="5"/>
  <c r="AE26" i="5"/>
  <c r="W25" i="5"/>
  <c r="X25" i="5"/>
  <c r="Y25" i="5"/>
  <c r="Z25" i="5"/>
  <c r="AA25" i="5"/>
  <c r="AB25" i="5"/>
  <c r="AC25" i="5"/>
  <c r="AD25" i="5"/>
  <c r="AE25" i="5"/>
  <c r="F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C25" i="2"/>
  <c r="D25" i="2"/>
  <c r="E25" i="2"/>
  <c r="S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T82" i="2"/>
  <c r="U82" i="2"/>
  <c r="C83" i="2"/>
  <c r="D83" i="2"/>
  <c r="E83" i="2"/>
  <c r="F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G86" i="2"/>
  <c r="B85" i="2"/>
  <c r="B75" i="2"/>
  <c r="B84" i="2" s="1"/>
  <c r="B83" i="2"/>
  <c r="B82" i="2"/>
  <c r="C31" i="2"/>
  <c r="C119" i="2" s="1"/>
  <c r="C126" i="2" s="1"/>
  <c r="E31" i="2"/>
  <c r="E119" i="2" s="1"/>
  <c r="E126" i="2" s="1"/>
  <c r="Y25" i="1"/>
  <c r="Z25" i="1"/>
  <c r="AA25" i="1"/>
  <c r="AB25" i="1"/>
  <c r="AC25" i="1"/>
  <c r="AD25" i="1"/>
  <c r="AE25" i="1"/>
  <c r="AF25" i="1"/>
  <c r="Y26" i="1"/>
  <c r="Z26" i="1"/>
  <c r="AA26" i="1"/>
  <c r="AB26" i="1"/>
  <c r="AC26" i="1"/>
  <c r="AD26" i="1"/>
  <c r="AE26" i="1"/>
  <c r="AF26" i="1"/>
  <c r="Y27" i="1"/>
  <c r="Z27" i="1"/>
  <c r="AA27" i="1"/>
  <c r="AB27" i="1"/>
  <c r="AC27" i="1"/>
  <c r="AD27" i="1"/>
  <c r="AE27" i="1"/>
  <c r="AF27" i="1"/>
  <c r="Y28" i="1"/>
  <c r="Z28" i="1"/>
  <c r="AA28" i="1"/>
  <c r="AB28" i="1"/>
  <c r="AC28" i="1"/>
  <c r="AD28" i="1"/>
  <c r="AE28" i="1"/>
  <c r="AF28" i="1"/>
  <c r="Y29" i="1"/>
  <c r="Z29" i="1"/>
  <c r="AA29" i="1"/>
  <c r="AB29" i="1"/>
  <c r="AC29" i="1"/>
  <c r="AD29" i="1"/>
  <c r="AE29" i="1"/>
  <c r="AF29" i="1"/>
  <c r="Y30" i="1"/>
  <c r="Z30" i="1"/>
  <c r="AA30" i="1"/>
  <c r="AB30" i="1"/>
  <c r="AC30" i="1"/>
  <c r="AD30" i="1"/>
  <c r="AE30" i="1"/>
  <c r="AF30" i="1"/>
  <c r="Y31" i="1"/>
  <c r="Z31" i="1"/>
  <c r="AA31" i="1"/>
  <c r="AB31" i="1"/>
  <c r="AC31" i="1"/>
  <c r="AD31" i="1"/>
  <c r="AE31" i="1"/>
  <c r="AF31" i="1"/>
  <c r="Y32" i="1"/>
  <c r="Z32" i="1"/>
  <c r="AA32" i="1"/>
  <c r="AB32" i="1"/>
  <c r="AC32" i="1"/>
  <c r="AD32" i="1"/>
  <c r="AE32" i="1"/>
  <c r="AF32" i="1"/>
  <c r="Y33" i="1"/>
  <c r="Z33" i="1"/>
  <c r="AA33" i="1"/>
  <c r="AB33" i="1"/>
  <c r="AC33" i="1"/>
  <c r="AD33" i="1"/>
  <c r="AE33" i="1"/>
  <c r="AF33" i="1"/>
  <c r="Y34" i="1"/>
  <c r="Z34" i="1"/>
  <c r="AA34" i="1"/>
  <c r="AB34" i="1"/>
  <c r="AC34" i="1"/>
  <c r="AD34" i="1"/>
  <c r="AE34" i="1"/>
  <c r="AF34" i="1"/>
  <c r="Y35" i="1"/>
  <c r="Z35" i="1"/>
  <c r="AA35" i="1"/>
  <c r="AB35" i="1"/>
  <c r="AC35" i="1"/>
  <c r="AD35" i="1"/>
  <c r="AE35" i="1"/>
  <c r="AF35" i="1"/>
  <c r="Y36" i="1"/>
  <c r="Z36" i="1"/>
  <c r="AA36" i="1"/>
  <c r="AB36" i="1"/>
  <c r="AC36" i="1"/>
  <c r="AD36" i="1"/>
  <c r="AE36" i="1"/>
  <c r="AF36" i="1"/>
  <c r="Y37" i="1"/>
  <c r="Z37" i="1"/>
  <c r="AA37" i="1"/>
  <c r="AB37" i="1"/>
  <c r="AC37" i="1"/>
  <c r="AD37" i="1"/>
  <c r="AE37" i="1"/>
  <c r="AF37" i="1"/>
  <c r="Y38" i="1"/>
  <c r="Z38" i="1"/>
  <c r="AA38" i="1"/>
  <c r="AB38" i="1"/>
  <c r="AC38" i="1"/>
  <c r="AD38" i="1"/>
  <c r="AE38" i="1"/>
  <c r="AF38" i="1"/>
  <c r="Y39" i="1"/>
  <c r="Z39" i="1"/>
  <c r="AA39" i="1"/>
  <c r="AB39" i="1"/>
  <c r="AC39" i="1"/>
  <c r="AD39" i="1"/>
  <c r="AE39" i="1"/>
  <c r="AF39" i="1"/>
  <c r="Y40" i="1"/>
  <c r="Z40" i="1"/>
  <c r="AA40" i="1"/>
  <c r="AB40" i="1"/>
  <c r="AC40" i="1"/>
  <c r="AD40" i="1"/>
  <c r="AE40" i="1"/>
  <c r="AF40" i="1"/>
  <c r="Y41" i="1"/>
  <c r="Z41" i="1"/>
  <c r="AA41" i="1"/>
  <c r="AB41" i="1"/>
  <c r="AC41" i="1"/>
  <c r="AD41" i="1"/>
  <c r="AE41" i="1"/>
  <c r="AF41" i="1"/>
  <c r="Y42" i="1"/>
  <c r="Z42" i="1"/>
  <c r="AA42" i="1"/>
  <c r="AB42" i="1"/>
  <c r="AC42" i="1"/>
  <c r="AD42" i="1"/>
  <c r="AE42" i="1"/>
  <c r="AF42" i="1"/>
  <c r="Y43" i="1"/>
  <c r="Z43" i="1"/>
  <c r="AA43" i="1"/>
  <c r="AB43" i="1"/>
  <c r="AC43" i="1"/>
  <c r="AD43" i="1"/>
  <c r="AE43" i="1"/>
  <c r="AF43" i="1"/>
  <c r="Y44" i="1"/>
  <c r="Z44" i="1"/>
  <c r="AA44" i="1"/>
  <c r="AB44" i="1"/>
  <c r="AC44" i="1"/>
  <c r="AD44" i="1"/>
  <c r="AE44" i="1"/>
  <c r="AF44" i="1"/>
  <c r="Y45" i="1"/>
  <c r="Z45" i="1"/>
  <c r="AA45" i="1"/>
  <c r="AB45" i="1"/>
  <c r="AC45" i="1"/>
  <c r="AD45" i="1"/>
  <c r="AE45" i="1"/>
  <c r="AF45" i="1"/>
  <c r="Y46" i="1"/>
  <c r="Z46" i="1"/>
  <c r="AA46" i="1"/>
  <c r="AB46" i="1"/>
  <c r="AC46" i="1"/>
  <c r="AD46" i="1"/>
  <c r="AE46" i="1"/>
  <c r="AF46" i="1"/>
  <c r="Y47" i="1"/>
  <c r="Z47" i="1"/>
  <c r="AA47" i="1"/>
  <c r="AB47" i="1"/>
  <c r="AC47" i="1"/>
  <c r="AD47" i="1"/>
  <c r="AE47" i="1"/>
  <c r="AF47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25" i="1"/>
  <c r="Y18" i="5"/>
  <c r="Z18" i="5"/>
  <c r="AA18" i="5"/>
  <c r="AB18" i="5"/>
  <c r="AC18" i="5"/>
  <c r="AD18" i="5"/>
  <c r="AE18" i="5"/>
  <c r="X18" i="5"/>
  <c r="W18" i="5"/>
  <c r="AF18" i="5" s="1"/>
  <c r="F31" i="2"/>
  <c r="F119" i="2" s="1"/>
  <c r="F126" i="2" s="1"/>
  <c r="Z7" i="5"/>
  <c r="AA7" i="5"/>
  <c r="Z8" i="5"/>
  <c r="AA8" i="5"/>
  <c r="Z9" i="5"/>
  <c r="AA9" i="5"/>
  <c r="X10" i="5"/>
  <c r="Y10" i="5"/>
  <c r="Z10" i="5"/>
  <c r="AA10" i="5"/>
  <c r="AB10" i="5"/>
  <c r="AC10" i="5"/>
  <c r="AD10" i="5"/>
  <c r="AE10" i="5"/>
  <c r="Z11" i="5"/>
  <c r="AA11" i="5"/>
  <c r="X12" i="5"/>
  <c r="Y12" i="5"/>
  <c r="Z12" i="5"/>
  <c r="AA12" i="5"/>
  <c r="AB12" i="5"/>
  <c r="AC12" i="5"/>
  <c r="AD12" i="5"/>
  <c r="AE12" i="5"/>
  <c r="Z13" i="5"/>
  <c r="AA13" i="5"/>
  <c r="X14" i="5"/>
  <c r="Y14" i="5"/>
  <c r="Z14" i="5"/>
  <c r="AA14" i="5"/>
  <c r="AB14" i="5"/>
  <c r="AC14" i="5"/>
  <c r="AD14" i="5"/>
  <c r="AE14" i="5"/>
  <c r="AA15" i="5"/>
  <c r="AC15" i="5"/>
  <c r="W9" i="5"/>
  <c r="W10" i="5"/>
  <c r="W12" i="5"/>
  <c r="W14" i="5"/>
  <c r="X62" i="5"/>
  <c r="X15" i="5" s="1"/>
  <c r="Y62" i="5"/>
  <c r="Y15" i="5" s="1"/>
  <c r="Z62" i="5"/>
  <c r="Z15" i="5" s="1"/>
  <c r="AA62" i="5"/>
  <c r="AB62" i="5"/>
  <c r="AB15" i="5" s="1"/>
  <c r="AC62" i="5"/>
  <c r="AD62" i="5"/>
  <c r="AD15" i="5" s="1"/>
  <c r="AE62" i="5"/>
  <c r="AE15" i="5" s="1"/>
  <c r="W62" i="5"/>
  <c r="W15" i="5" s="1"/>
  <c r="V62" i="5"/>
  <c r="X55" i="5"/>
  <c r="X8" i="5" s="1"/>
  <c r="Y55" i="5"/>
  <c r="Y8" i="5" s="1"/>
  <c r="Z55" i="5"/>
  <c r="AA55" i="5"/>
  <c r="AB55" i="5"/>
  <c r="AB8" i="5" s="1"/>
  <c r="AC55" i="5"/>
  <c r="AC8" i="5" s="1"/>
  <c r="AD55" i="5"/>
  <c r="AD8" i="5" s="1"/>
  <c r="AE55" i="5"/>
  <c r="AE8" i="5" s="1"/>
  <c r="W55" i="5"/>
  <c r="W8" i="5" s="1"/>
  <c r="X54" i="5"/>
  <c r="X7" i="5" s="1"/>
  <c r="Y54" i="5"/>
  <c r="Y7" i="5" s="1"/>
  <c r="Z54" i="5"/>
  <c r="AA54" i="5"/>
  <c r="AB54" i="5"/>
  <c r="AB7" i="5" s="1"/>
  <c r="AC54" i="5"/>
  <c r="AC7" i="5" s="1"/>
  <c r="AD54" i="5"/>
  <c r="AD7" i="5" s="1"/>
  <c r="AE54" i="5"/>
  <c r="AE7" i="5" s="1"/>
  <c r="W54" i="5"/>
  <c r="W7" i="5" s="1"/>
  <c r="X60" i="5"/>
  <c r="X13" i="5" s="1"/>
  <c r="Y60" i="5"/>
  <c r="Y13" i="5" s="1"/>
  <c r="Z60" i="5"/>
  <c r="AA60" i="5"/>
  <c r="AB60" i="5"/>
  <c r="AB13" i="5" s="1"/>
  <c r="AC60" i="5"/>
  <c r="AC13" i="5" s="1"/>
  <c r="AD60" i="5"/>
  <c r="AD13" i="5" s="1"/>
  <c r="AE60" i="5"/>
  <c r="AE13" i="5" s="1"/>
  <c r="W60" i="5"/>
  <c r="W13" i="5" s="1"/>
  <c r="X56" i="5"/>
  <c r="X9" i="5" s="1"/>
  <c r="Y56" i="5"/>
  <c r="Y9" i="5" s="1"/>
  <c r="Z56" i="5"/>
  <c r="AA56" i="5"/>
  <c r="AB56" i="5"/>
  <c r="AB9" i="5" s="1"/>
  <c r="AC56" i="5"/>
  <c r="AC9" i="5" s="1"/>
  <c r="AD56" i="5"/>
  <c r="AD9" i="5" s="1"/>
  <c r="AE56" i="5"/>
  <c r="AE9" i="5" s="1"/>
  <c r="W56" i="5"/>
  <c r="X58" i="5"/>
  <c r="X11" i="5" s="1"/>
  <c r="Y58" i="5"/>
  <c r="Y11" i="5" s="1"/>
  <c r="Z58" i="5"/>
  <c r="AA58" i="5"/>
  <c r="AB58" i="5"/>
  <c r="AB11" i="5" s="1"/>
  <c r="AC58" i="5"/>
  <c r="AC11" i="5" s="1"/>
  <c r="AD58" i="5"/>
  <c r="AD11" i="5" s="1"/>
  <c r="AE58" i="5"/>
  <c r="AE11" i="5" s="1"/>
  <c r="W58" i="5"/>
  <c r="W11" i="5" s="1"/>
  <c r="K127" i="1" l="1"/>
  <c r="I77" i="2"/>
  <c r="I86" i="2" s="1"/>
  <c r="I32" i="2"/>
  <c r="E127" i="1"/>
  <c r="C32" i="2"/>
  <c r="C35" i="2" s="1"/>
  <c r="C77" i="2"/>
  <c r="C86" i="2" s="1"/>
  <c r="C88" i="2" s="1"/>
  <c r="Z127" i="1"/>
  <c r="X77" i="2"/>
  <c r="X86" i="2" s="1"/>
  <c r="X32" i="2"/>
  <c r="X33" i="2" s="1"/>
  <c r="R127" i="1"/>
  <c r="P77" i="2"/>
  <c r="P86" i="2" s="1"/>
  <c r="P32" i="2"/>
  <c r="P35" i="2" s="1"/>
  <c r="H32" i="2"/>
  <c r="H35" i="2" s="1"/>
  <c r="J127" i="1"/>
  <c r="H77" i="2"/>
  <c r="H86" i="2" s="1"/>
  <c r="AG127" i="1"/>
  <c r="AE77" i="2"/>
  <c r="AE86" i="2" s="1"/>
  <c r="AE32" i="2"/>
  <c r="Y127" i="1"/>
  <c r="W77" i="2"/>
  <c r="W86" i="2" s="1"/>
  <c r="W32" i="2"/>
  <c r="W33" i="2" s="1"/>
  <c r="Q127" i="1"/>
  <c r="O77" i="2"/>
  <c r="O86" i="2" s="1"/>
  <c r="O32" i="2"/>
  <c r="F32" i="2"/>
  <c r="F35" i="2" s="1"/>
  <c r="H127" i="1"/>
  <c r="H129" i="1" s="1"/>
  <c r="F77" i="2"/>
  <c r="F86" i="2" s="1"/>
  <c r="F88" i="2" s="1"/>
  <c r="AA127" i="1"/>
  <c r="Y77" i="2"/>
  <c r="Y86" i="2" s="1"/>
  <c r="Y32" i="2"/>
  <c r="Y33" i="2" s="1"/>
  <c r="P127" i="1"/>
  <c r="N77" i="2"/>
  <c r="N86" i="2" s="1"/>
  <c r="N32" i="2"/>
  <c r="S127" i="1"/>
  <c r="Q77" i="2"/>
  <c r="Q86" i="2" s="1"/>
  <c r="Q32" i="2"/>
  <c r="Q33" i="2" s="1"/>
  <c r="X127" i="1"/>
  <c r="V77" i="2"/>
  <c r="V86" i="2" s="1"/>
  <c r="V32" i="2"/>
  <c r="V33" i="2" s="1"/>
  <c r="AE127" i="1"/>
  <c r="AC77" i="2"/>
  <c r="AC86" i="2" s="1"/>
  <c r="AC32" i="2"/>
  <c r="AC33" i="2" s="1"/>
  <c r="AD127" i="1"/>
  <c r="AB32" i="2"/>
  <c r="AB33" i="2" s="1"/>
  <c r="AB77" i="2"/>
  <c r="AB86" i="2" s="1"/>
  <c r="T32" i="2"/>
  <c r="T35" i="2" s="1"/>
  <c r="T36" i="2" s="1"/>
  <c r="V127" i="1"/>
  <c r="V129" i="1" s="1"/>
  <c r="T77" i="2"/>
  <c r="T86" i="2" s="1"/>
  <c r="N127" i="1"/>
  <c r="L77" i="2"/>
  <c r="L86" i="2" s="1"/>
  <c r="L32" i="2"/>
  <c r="L35" i="2" s="1"/>
  <c r="W127" i="1"/>
  <c r="U77" i="2"/>
  <c r="U86" i="2" s="1"/>
  <c r="U32" i="2"/>
  <c r="AC127" i="1"/>
  <c r="AA77" i="2"/>
  <c r="AA86" i="2" s="1"/>
  <c r="AA32" i="2"/>
  <c r="AA33" i="2" s="1"/>
  <c r="U127" i="1"/>
  <c r="S32" i="2"/>
  <c r="S77" i="2"/>
  <c r="S86" i="2" s="1"/>
  <c r="M127" i="1"/>
  <c r="K32" i="2"/>
  <c r="K77" i="2"/>
  <c r="K86" i="2" s="1"/>
  <c r="F127" i="1"/>
  <c r="D32" i="2"/>
  <c r="D35" i="2" s="1"/>
  <c r="D77" i="2"/>
  <c r="AF127" i="1"/>
  <c r="AD77" i="2"/>
  <c r="AD86" i="2" s="1"/>
  <c r="AD32" i="2"/>
  <c r="AD33" i="2" s="1"/>
  <c r="O127" i="1"/>
  <c r="M77" i="2"/>
  <c r="M86" i="2" s="1"/>
  <c r="M32" i="2"/>
  <c r="G127" i="1"/>
  <c r="E77" i="2"/>
  <c r="E86" i="2" s="1"/>
  <c r="E88" i="2" s="1"/>
  <c r="E32" i="2"/>
  <c r="E35" i="2" s="1"/>
  <c r="AB127" i="1"/>
  <c r="Z32" i="2"/>
  <c r="Z33" i="2" s="1"/>
  <c r="Z77" i="2"/>
  <c r="Z86" i="2" s="1"/>
  <c r="T127" i="1"/>
  <c r="R32" i="2"/>
  <c r="R77" i="2"/>
  <c r="R86" i="2" s="1"/>
  <c r="L127" i="1"/>
  <c r="J77" i="2"/>
  <c r="J86" i="2" s="1"/>
  <c r="J32" i="2"/>
  <c r="B86" i="2"/>
  <c r="B88" i="2" s="1"/>
  <c r="F33" i="2"/>
  <c r="AF26" i="5"/>
  <c r="AE33" i="2"/>
  <c r="D86" i="2"/>
  <c r="D88" i="2" s="1"/>
  <c r="D31" i="2"/>
  <c r="D119" i="2" s="1"/>
  <c r="D126" i="2" s="1"/>
  <c r="B119" i="2"/>
  <c r="F89" i="2" l="1"/>
  <c r="C89" i="2"/>
  <c r="D89" i="2"/>
  <c r="E89" i="2"/>
  <c r="H33" i="2"/>
  <c r="Q35" i="2"/>
  <c r="B121" i="2"/>
  <c r="B125" i="2" s="1"/>
  <c r="B126" i="2"/>
  <c r="T33" i="2"/>
  <c r="L33" i="2"/>
  <c r="O33" i="2"/>
  <c r="O35" i="2"/>
  <c r="P33" i="2"/>
  <c r="D33" i="2"/>
  <c r="J35" i="2"/>
  <c r="J33" i="2"/>
  <c r="K33" i="2"/>
  <c r="K35" i="2"/>
  <c r="C33" i="2"/>
  <c r="M33" i="2"/>
  <c r="M35" i="2"/>
  <c r="I35" i="2"/>
  <c r="I33" i="2"/>
  <c r="R35" i="2"/>
  <c r="R33" i="2"/>
  <c r="S35" i="2"/>
  <c r="S33" i="2"/>
  <c r="E33" i="2"/>
  <c r="U35" i="2"/>
  <c r="U33" i="2"/>
  <c r="N33" i="2"/>
  <c r="N35" i="2"/>
  <c r="F36" i="2"/>
  <c r="W53" i="5"/>
  <c r="W6" i="5" s="1"/>
  <c r="X53" i="5"/>
  <c r="X6" i="5" s="1"/>
  <c r="Y53" i="5"/>
  <c r="Y6" i="5" s="1"/>
  <c r="Z53" i="5"/>
  <c r="Z6" i="5" s="1"/>
  <c r="AA53" i="5"/>
  <c r="AA6" i="5" s="1"/>
  <c r="AA52" i="5"/>
  <c r="AA5" i="5" s="1"/>
  <c r="AE51" i="5"/>
  <c r="AE4" i="5" s="1"/>
  <c r="Z51" i="5"/>
  <c r="Z4" i="5" s="1"/>
  <c r="C121" i="2" l="1"/>
  <c r="C125" i="2" s="1"/>
  <c r="B123" i="2"/>
  <c r="B124" i="2" s="1"/>
  <c r="C123" i="2"/>
  <c r="C124" i="2" s="1"/>
  <c r="W52" i="5"/>
  <c r="W5" i="5" s="1"/>
  <c r="AA51" i="5"/>
  <c r="AA4" i="5" s="1"/>
  <c r="AA30" i="5"/>
  <c r="Z5" i="2" s="1"/>
  <c r="AB124" i="1" s="1"/>
  <c r="W51" i="5"/>
  <c r="W4" i="5" s="1"/>
  <c r="X30" i="5"/>
  <c r="W5" i="2" s="1"/>
  <c r="Y124" i="1" s="1"/>
  <c r="X52" i="5"/>
  <c r="X5" i="5" s="1"/>
  <c r="AC51" i="5"/>
  <c r="AC4" i="5" s="1"/>
  <c r="Y51" i="5"/>
  <c r="Y4" i="5" s="1"/>
  <c r="W30" i="5"/>
  <c r="Z30" i="5"/>
  <c r="Y5" i="2" s="1"/>
  <c r="AA124" i="1" s="1"/>
  <c r="AE52" i="5"/>
  <c r="AE5" i="5" s="1"/>
  <c r="Z52" i="5"/>
  <c r="Z5" i="5" s="1"/>
  <c r="AC52" i="5"/>
  <c r="AC5" i="5" s="1"/>
  <c r="X51" i="5"/>
  <c r="X4" i="5" s="1"/>
  <c r="Y30" i="5"/>
  <c r="X5" i="2" s="1"/>
  <c r="Z124" i="1" s="1"/>
  <c r="AB51" i="5"/>
  <c r="AB4" i="5" s="1"/>
  <c r="AD51" i="5"/>
  <c r="AD4" i="5" s="1"/>
  <c r="Y52" i="5"/>
  <c r="Y5" i="5" s="1"/>
  <c r="D121" i="2" l="1"/>
  <c r="D125" i="2" s="1"/>
  <c r="W73" i="2"/>
  <c r="W82" i="2" s="1"/>
  <c r="Z73" i="2"/>
  <c r="Z82" i="2" s="1"/>
  <c r="Y73" i="2"/>
  <c r="Y82" i="2" s="1"/>
  <c r="X73" i="2"/>
  <c r="X82" i="2" s="1"/>
  <c r="V5" i="2"/>
  <c r="X124" i="1" s="1"/>
  <c r="AE53" i="5"/>
  <c r="AE6" i="5" s="1"/>
  <c r="AE30" i="5"/>
  <c r="AB53" i="5"/>
  <c r="AB6" i="5" s="1"/>
  <c r="AB52" i="5"/>
  <c r="AB5" i="5" s="1"/>
  <c r="AC53" i="5"/>
  <c r="AC6" i="5" s="1"/>
  <c r="AC30" i="5"/>
  <c r="AB5" i="2" s="1"/>
  <c r="AD124" i="1" s="1"/>
  <c r="AD52" i="5"/>
  <c r="AD5" i="5" s="1"/>
  <c r="D123" i="2" l="1"/>
  <c r="D124" i="2" s="1"/>
  <c r="E121" i="2"/>
  <c r="E125" i="2" s="1"/>
  <c r="V73" i="2"/>
  <c r="V82" i="2" s="1"/>
  <c r="AB73" i="2"/>
  <c r="AB82" i="2" s="1"/>
  <c r="AD5" i="2"/>
  <c r="AD53" i="5"/>
  <c r="AD6" i="5" s="1"/>
  <c r="AD30" i="5"/>
  <c r="AC5" i="2" s="1"/>
  <c r="AB30" i="5"/>
  <c r="F121" i="2" l="1"/>
  <c r="F125" i="2" s="1"/>
  <c r="E123" i="2"/>
  <c r="E124" i="2" s="1"/>
  <c r="AC73" i="2"/>
  <c r="AC82" i="2" s="1"/>
  <c r="AE124" i="1"/>
  <c r="AD73" i="2"/>
  <c r="AF124" i="1"/>
  <c r="AD82" i="2"/>
  <c r="AF30" i="5"/>
  <c r="F123" i="2" l="1"/>
  <c r="F124" i="2" s="1"/>
  <c r="AA5" i="2"/>
  <c r="AC124" i="1" s="1"/>
  <c r="AA73" i="2" l="1"/>
  <c r="AA82" i="2" s="1"/>
  <c r="AE5" i="2"/>
  <c r="AE73" i="2" l="1"/>
  <c r="AE82" i="2" s="1"/>
  <c r="AG124" i="1"/>
  <c r="U3" i="3"/>
  <c r="U4" i="3"/>
  <c r="U5" i="3"/>
  <c r="U6" i="3"/>
  <c r="U7" i="3"/>
  <c r="U8" i="3"/>
  <c r="U9" i="3"/>
  <c r="U10" i="3"/>
  <c r="U11" i="3"/>
  <c r="U14" i="3"/>
  <c r="U15" i="3"/>
  <c r="U17" i="3"/>
  <c r="U18" i="3"/>
  <c r="U19" i="3"/>
  <c r="U20" i="3"/>
  <c r="U22" i="3"/>
  <c r="U24" i="3"/>
  <c r="U28" i="3"/>
  <c r="V2" i="3" s="1"/>
  <c r="V28" i="3"/>
  <c r="U29" i="3"/>
  <c r="V3" i="3" s="1"/>
  <c r="V29" i="3"/>
  <c r="U30" i="3"/>
  <c r="V4" i="3" s="1"/>
  <c r="V30" i="3"/>
  <c r="U31" i="3"/>
  <c r="V5" i="3" s="1"/>
  <c r="V31" i="3"/>
  <c r="U32" i="3"/>
  <c r="V6" i="3" s="1"/>
  <c r="V32" i="3"/>
  <c r="U33" i="3"/>
  <c r="V7" i="3" s="1"/>
  <c r="V33" i="3"/>
  <c r="U34" i="3"/>
  <c r="V8" i="3" s="1"/>
  <c r="V34" i="3"/>
  <c r="U35" i="3"/>
  <c r="V9" i="3" s="1"/>
  <c r="V35" i="3"/>
  <c r="U36" i="3"/>
  <c r="V10" i="3" s="1"/>
  <c r="V36" i="3"/>
  <c r="U37" i="3"/>
  <c r="V11" i="3" s="1"/>
  <c r="V37" i="3"/>
  <c r="U38" i="3"/>
  <c r="V12" i="3" s="1"/>
  <c r="V38" i="3"/>
  <c r="U39" i="3"/>
  <c r="V13" i="3" s="1"/>
  <c r="V39" i="3"/>
  <c r="U40" i="3"/>
  <c r="V14" i="3" s="1"/>
  <c r="V40" i="3"/>
  <c r="U41" i="3"/>
  <c r="V15" i="3" s="1"/>
  <c r="V41" i="3"/>
  <c r="U42" i="3"/>
  <c r="V16" i="3" s="1"/>
  <c r="V42" i="3"/>
  <c r="U43" i="3"/>
  <c r="V17" i="3" s="1"/>
  <c r="V43" i="3"/>
  <c r="U44" i="3"/>
  <c r="V18" i="3" s="1"/>
  <c r="V44" i="3"/>
  <c r="U45" i="3"/>
  <c r="V19" i="3" s="1"/>
  <c r="V45" i="3"/>
  <c r="U46" i="3"/>
  <c r="V20" i="3" s="1"/>
  <c r="V46" i="3"/>
  <c r="U47" i="3"/>
  <c r="V21" i="3" s="1"/>
  <c r="V47" i="3"/>
  <c r="U48" i="3"/>
  <c r="V22" i="3" s="1"/>
  <c r="V48" i="3"/>
  <c r="U49" i="3"/>
  <c r="V23" i="3" s="1"/>
  <c r="V49" i="3"/>
  <c r="U50" i="3"/>
  <c r="V24" i="3" s="1"/>
  <c r="V50" i="3"/>
  <c r="U63" i="3"/>
  <c r="U81" i="3"/>
  <c r="V81" i="3" s="1"/>
  <c r="B2" i="4" s="1"/>
  <c r="U82" i="3"/>
  <c r="V82" i="3" s="1"/>
  <c r="B3" i="4" s="1"/>
  <c r="C3" i="4" s="1"/>
  <c r="U83" i="3"/>
  <c r="V83" i="3" s="1"/>
  <c r="B4" i="4" s="1"/>
  <c r="J4" i="4" s="1"/>
  <c r="U84" i="3"/>
  <c r="V84" i="3" s="1"/>
  <c r="B5" i="4" s="1"/>
  <c r="I5" i="4" s="1"/>
  <c r="U85" i="3"/>
  <c r="U86" i="3"/>
  <c r="V86" i="3" s="1"/>
  <c r="B7" i="4" s="1"/>
  <c r="G7" i="4" s="1"/>
  <c r="U87" i="3"/>
  <c r="V87" i="3" s="1"/>
  <c r="B8" i="4" s="1"/>
  <c r="F8" i="4" s="1"/>
  <c r="U88" i="3"/>
  <c r="V88" i="3" s="1"/>
  <c r="B9" i="4" s="1"/>
  <c r="G9" i="4" s="1"/>
  <c r="U89" i="3"/>
  <c r="U91" i="3"/>
  <c r="U92" i="3"/>
  <c r="V92" i="3" s="1"/>
  <c r="B13" i="4" s="1"/>
  <c r="C13" i="4" s="1"/>
  <c r="U93" i="3"/>
  <c r="V93" i="3" s="1"/>
  <c r="B14" i="4" s="1"/>
  <c r="J14" i="4" s="1"/>
  <c r="U94" i="3"/>
  <c r="V94" i="3" s="1"/>
  <c r="B15" i="4" s="1"/>
  <c r="I15" i="4" s="1"/>
  <c r="U95" i="3"/>
  <c r="U96" i="3"/>
  <c r="V96" i="3"/>
  <c r="B17" i="4" s="1"/>
  <c r="G17" i="4" s="1"/>
  <c r="U97" i="3"/>
  <c r="V97" i="3" s="1"/>
  <c r="B18" i="4" s="1"/>
  <c r="F18" i="4" s="1"/>
  <c r="U98" i="3"/>
  <c r="V98" i="3" s="1"/>
  <c r="B19" i="4" s="1"/>
  <c r="E19" i="4" s="1"/>
  <c r="U99" i="3"/>
  <c r="U100" i="3"/>
  <c r="V100" i="3" s="1"/>
  <c r="B21" i="4" s="1"/>
  <c r="C21" i="4" s="1"/>
  <c r="U101" i="3"/>
  <c r="V101" i="3" s="1"/>
  <c r="B22" i="4" s="1"/>
  <c r="J22" i="4" s="1"/>
  <c r="U102" i="3"/>
  <c r="V102" i="3" s="1"/>
  <c r="B23" i="4" s="1"/>
  <c r="U103" i="3"/>
  <c r="U108" i="3"/>
  <c r="U109" i="3"/>
  <c r="U110" i="3"/>
  <c r="U112" i="3"/>
  <c r="U113" i="3"/>
  <c r="U114" i="3"/>
  <c r="U115" i="3"/>
  <c r="U116" i="3"/>
  <c r="U117" i="3"/>
  <c r="V90" i="3" s="1"/>
  <c r="B11" i="4" s="1"/>
  <c r="D11" i="4" s="1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J158" i="3"/>
  <c r="R158" i="3"/>
  <c r="I23" i="4" l="1"/>
  <c r="J23" i="4"/>
  <c r="C23" i="4"/>
  <c r="K23" i="4"/>
  <c r="D23" i="4"/>
  <c r="E23" i="4"/>
  <c r="F23" i="4"/>
  <c r="G23" i="4"/>
  <c r="H23" i="4"/>
  <c r="I22" i="4"/>
  <c r="J21" i="4"/>
  <c r="D19" i="4"/>
  <c r="E18" i="4"/>
  <c r="F17" i="4"/>
  <c r="H15" i="4"/>
  <c r="I14" i="4"/>
  <c r="J13" i="4"/>
  <c r="K11" i="4"/>
  <c r="C11" i="4"/>
  <c r="D9" i="4"/>
  <c r="E8" i="4"/>
  <c r="F7" i="4"/>
  <c r="H5" i="4"/>
  <c r="I4" i="4"/>
  <c r="J3" i="4"/>
  <c r="H22" i="4"/>
  <c r="I21" i="4"/>
  <c r="K19" i="4"/>
  <c r="C19" i="4"/>
  <c r="D18" i="4"/>
  <c r="E17" i="4"/>
  <c r="G15" i="4"/>
  <c r="H14" i="4"/>
  <c r="I13" i="4"/>
  <c r="J11" i="4"/>
  <c r="C9" i="4"/>
  <c r="D8" i="4"/>
  <c r="E7" i="4"/>
  <c r="G5" i="4"/>
  <c r="H4" i="4"/>
  <c r="I3" i="4"/>
  <c r="G22" i="4"/>
  <c r="H21" i="4"/>
  <c r="J19" i="4"/>
  <c r="K18" i="4"/>
  <c r="C18" i="4"/>
  <c r="D17" i="4"/>
  <c r="F15" i="4"/>
  <c r="G14" i="4"/>
  <c r="H13" i="4"/>
  <c r="I11" i="4"/>
  <c r="K9" i="4"/>
  <c r="K8" i="4"/>
  <c r="C8" i="4"/>
  <c r="D7" i="4"/>
  <c r="F5" i="4"/>
  <c r="G4" i="4"/>
  <c r="H3" i="4"/>
  <c r="F22" i="4"/>
  <c r="G21" i="4"/>
  <c r="I19" i="4"/>
  <c r="J18" i="4"/>
  <c r="K17" i="4"/>
  <c r="C17" i="4"/>
  <c r="E15" i="4"/>
  <c r="F14" i="4"/>
  <c r="G13" i="4"/>
  <c r="H11" i="4"/>
  <c r="J9" i="4"/>
  <c r="J8" i="4"/>
  <c r="K7" i="4"/>
  <c r="C7" i="4"/>
  <c r="E5" i="4"/>
  <c r="F4" i="4"/>
  <c r="G3" i="4"/>
  <c r="E22" i="4"/>
  <c r="F21" i="4"/>
  <c r="H19" i="4"/>
  <c r="I18" i="4"/>
  <c r="J17" i="4"/>
  <c r="D15" i="4"/>
  <c r="E14" i="4"/>
  <c r="F13" i="4"/>
  <c r="G11" i="4"/>
  <c r="I9" i="4"/>
  <c r="I8" i="4"/>
  <c r="J7" i="4"/>
  <c r="D5" i="4"/>
  <c r="E4" i="4"/>
  <c r="F3" i="4"/>
  <c r="D22" i="4"/>
  <c r="E21" i="4"/>
  <c r="G19" i="4"/>
  <c r="H18" i="4"/>
  <c r="I17" i="4"/>
  <c r="K15" i="4"/>
  <c r="C15" i="4"/>
  <c r="D14" i="4"/>
  <c r="E13" i="4"/>
  <c r="F11" i="4"/>
  <c r="H9" i="4"/>
  <c r="H8" i="4"/>
  <c r="I7" i="4"/>
  <c r="K5" i="4"/>
  <c r="C5" i="4"/>
  <c r="D4" i="4"/>
  <c r="E3" i="4"/>
  <c r="K22" i="4"/>
  <c r="C22" i="4"/>
  <c r="D21" i="4"/>
  <c r="F19" i="4"/>
  <c r="G18" i="4"/>
  <c r="H17" i="4"/>
  <c r="J15" i="4"/>
  <c r="K14" i="4"/>
  <c r="C14" i="4"/>
  <c r="D13" i="4"/>
  <c r="E11" i="4"/>
  <c r="F9" i="4"/>
  <c r="G8" i="4"/>
  <c r="H7" i="4"/>
  <c r="J5" i="4"/>
  <c r="K4" i="4"/>
  <c r="C4" i="4"/>
  <c r="D3" i="4"/>
  <c r="K21" i="4"/>
  <c r="K13" i="4"/>
  <c r="E9" i="4"/>
  <c r="K3" i="4"/>
  <c r="C2" i="4"/>
  <c r="D2" i="4"/>
  <c r="E2" i="4"/>
  <c r="J2" i="4"/>
  <c r="H2" i="4"/>
  <c r="F2" i="4"/>
  <c r="I2" i="4"/>
  <c r="K2" i="4"/>
  <c r="G2" i="4"/>
  <c r="T31" i="2"/>
  <c r="T119" i="2" s="1"/>
  <c r="T126" i="2" s="1"/>
  <c r="T83" i="2"/>
  <c r="T88" i="2" s="1"/>
  <c r="L31" i="2"/>
  <c r="L119" i="2" s="1"/>
  <c r="L126" i="2" s="1"/>
  <c r="L83" i="2"/>
  <c r="L88" i="2" s="1"/>
  <c r="U151" i="3"/>
  <c r="Q158" i="3"/>
  <c r="U142" i="3"/>
  <c r="V103" i="3"/>
  <c r="B24" i="4" s="1"/>
  <c r="V99" i="3"/>
  <c r="B20" i="4" s="1"/>
  <c r="V95" i="3"/>
  <c r="B16" i="4" s="1"/>
  <c r="V91" i="3"/>
  <c r="B12" i="4" s="1"/>
  <c r="U156" i="3"/>
  <c r="U148" i="3"/>
  <c r="P158" i="3"/>
  <c r="H158" i="3"/>
  <c r="U139" i="3"/>
  <c r="W20" i="3"/>
  <c r="U157" i="3"/>
  <c r="U153" i="3"/>
  <c r="U149" i="3"/>
  <c r="U145" i="3"/>
  <c r="U140" i="3"/>
  <c r="O158" i="3"/>
  <c r="G158" i="3"/>
  <c r="U154" i="3"/>
  <c r="U152" i="3"/>
  <c r="U150" i="3"/>
  <c r="U146" i="3"/>
  <c r="U143" i="3"/>
  <c r="U141" i="3"/>
  <c r="N158" i="3"/>
  <c r="F158" i="3"/>
  <c r="U155" i="3"/>
  <c r="U147" i="3"/>
  <c r="M158" i="3"/>
  <c r="U137" i="3"/>
  <c r="V89" i="3"/>
  <c r="B10" i="4" s="1"/>
  <c r="V85" i="3"/>
  <c r="B6" i="4" s="1"/>
  <c r="T158" i="3"/>
  <c r="L158" i="3"/>
  <c r="S158" i="3"/>
  <c r="K158" i="3"/>
  <c r="W5" i="3"/>
  <c r="W19" i="3"/>
  <c r="W9" i="3"/>
  <c r="W6" i="3"/>
  <c r="W3" i="3"/>
  <c r="W7" i="3"/>
  <c r="W4" i="3"/>
  <c r="W8" i="3"/>
  <c r="W22" i="3"/>
  <c r="W18" i="3"/>
  <c r="W11" i="3"/>
  <c r="W24" i="3"/>
  <c r="W17" i="3"/>
  <c r="W15" i="3"/>
  <c r="W14" i="3"/>
  <c r="W10" i="3"/>
  <c r="I158" i="3"/>
  <c r="U136" i="3"/>
  <c r="U21" i="3"/>
  <c r="U13" i="3"/>
  <c r="U135" i="3"/>
  <c r="U2" i="3"/>
  <c r="U23" i="3"/>
  <c r="U12" i="3"/>
  <c r="E158" i="3"/>
  <c r="U16" i="3"/>
  <c r="U158" i="3" l="1"/>
  <c r="C12" i="4"/>
  <c r="D12" i="4"/>
  <c r="E12" i="4"/>
  <c r="F12" i="4"/>
  <c r="G12" i="4"/>
  <c r="H12" i="4"/>
  <c r="I12" i="4"/>
  <c r="J12" i="4"/>
  <c r="K12" i="4"/>
  <c r="H16" i="4"/>
  <c r="I16" i="4"/>
  <c r="J16" i="4"/>
  <c r="C16" i="4"/>
  <c r="K16" i="4"/>
  <c r="D16" i="4"/>
  <c r="E16" i="4"/>
  <c r="F16" i="4"/>
  <c r="G16" i="4"/>
  <c r="D20" i="4"/>
  <c r="E20" i="4"/>
  <c r="F20" i="4"/>
  <c r="G20" i="4"/>
  <c r="H20" i="4"/>
  <c r="I20" i="4"/>
  <c r="J20" i="4"/>
  <c r="C20" i="4"/>
  <c r="K20" i="4"/>
  <c r="H24" i="4"/>
  <c r="I24" i="4"/>
  <c r="J24" i="4"/>
  <c r="C24" i="4"/>
  <c r="K24" i="4"/>
  <c r="D24" i="4"/>
  <c r="E24" i="4"/>
  <c r="F24" i="4"/>
  <c r="G24" i="4"/>
  <c r="H6" i="4"/>
  <c r="I6" i="4"/>
  <c r="I25" i="4" s="1"/>
  <c r="AB8" i="2" s="1"/>
  <c r="J6" i="4"/>
  <c r="J25" i="4" s="1"/>
  <c r="AC8" i="2" s="1"/>
  <c r="C6" i="4"/>
  <c r="C25" i="4" s="1"/>
  <c r="K6" i="4"/>
  <c r="D6" i="4"/>
  <c r="E6" i="4"/>
  <c r="F6" i="4"/>
  <c r="G6" i="4"/>
  <c r="E10" i="4"/>
  <c r="F10" i="4"/>
  <c r="G10" i="4"/>
  <c r="H10" i="4"/>
  <c r="I10" i="4"/>
  <c r="J10" i="4"/>
  <c r="C10" i="4"/>
  <c r="K10" i="4"/>
  <c r="D10" i="4"/>
  <c r="R31" i="2"/>
  <c r="R119" i="2" s="1"/>
  <c r="R126" i="2" s="1"/>
  <c r="R83" i="2"/>
  <c r="R88" i="2" s="1"/>
  <c r="S31" i="2"/>
  <c r="S119" i="2" s="1"/>
  <c r="S126" i="2" s="1"/>
  <c r="S83" i="2"/>
  <c r="S88" i="2" s="1"/>
  <c r="K31" i="2"/>
  <c r="K119" i="2" s="1"/>
  <c r="K126" i="2" s="1"/>
  <c r="K83" i="2"/>
  <c r="K88" i="2" s="1"/>
  <c r="O31" i="2"/>
  <c r="O119" i="2" s="1"/>
  <c r="O126" i="2" s="1"/>
  <c r="O83" i="2"/>
  <c r="O88" i="2" s="1"/>
  <c r="M31" i="2"/>
  <c r="M119" i="2" s="1"/>
  <c r="M126" i="2" s="1"/>
  <c r="M83" i="2"/>
  <c r="M88" i="2" s="1"/>
  <c r="U31" i="2"/>
  <c r="U83" i="2"/>
  <c r="U88" i="2" s="1"/>
  <c r="N31" i="2"/>
  <c r="N119" i="2" s="1"/>
  <c r="N126" i="2" s="1"/>
  <c r="N83" i="2"/>
  <c r="N88" i="2" s="1"/>
  <c r="H31" i="2"/>
  <c r="H119" i="2" s="1"/>
  <c r="H126" i="2" s="1"/>
  <c r="H83" i="2"/>
  <c r="H88" i="2" s="1"/>
  <c r="I31" i="2"/>
  <c r="I119" i="2" s="1"/>
  <c r="I126" i="2" s="1"/>
  <c r="I83" i="2"/>
  <c r="I88" i="2" s="1"/>
  <c r="P31" i="2"/>
  <c r="P119" i="2" s="1"/>
  <c r="P126" i="2" s="1"/>
  <c r="P83" i="2"/>
  <c r="P88" i="2" s="1"/>
  <c r="Q31" i="2"/>
  <c r="Q119" i="2" s="1"/>
  <c r="Q126" i="2" s="1"/>
  <c r="Q83" i="2"/>
  <c r="Q88" i="2" s="1"/>
  <c r="J31" i="2"/>
  <c r="J119" i="2" s="1"/>
  <c r="J126" i="2" s="1"/>
  <c r="J83" i="2"/>
  <c r="J88" i="2" s="1"/>
  <c r="G119" i="2"/>
  <c r="G83" i="2"/>
  <c r="G88" i="2" s="1"/>
  <c r="W23" i="3"/>
  <c r="W12" i="3"/>
  <c r="W16" i="3"/>
  <c r="W13" i="3"/>
  <c r="W21" i="3"/>
  <c r="W2" i="3"/>
  <c r="J89" i="2" l="1"/>
  <c r="R89" i="2"/>
  <c r="K89" i="2"/>
  <c r="S89" i="2"/>
  <c r="L89" i="2"/>
  <c r="T89" i="2"/>
  <c r="U89" i="2"/>
  <c r="O89" i="2"/>
  <c r="I89" i="2"/>
  <c r="M89" i="2"/>
  <c r="P89" i="2"/>
  <c r="N89" i="2"/>
  <c r="G89" i="2"/>
  <c r="H89" i="2"/>
  <c r="Q89" i="2"/>
  <c r="AC6" i="2"/>
  <c r="AE125" i="1"/>
  <c r="AB6" i="2"/>
  <c r="AD125" i="1"/>
  <c r="G121" i="2"/>
  <c r="G125" i="2" s="1"/>
  <c r="G126" i="2"/>
  <c r="G25" i="4"/>
  <c r="Z8" i="2" s="1"/>
  <c r="H25" i="4"/>
  <c r="AA8" i="2" s="1"/>
  <c r="F25" i="4"/>
  <c r="Y8" i="2" s="1"/>
  <c r="E25" i="4"/>
  <c r="X8" i="2" s="1"/>
  <c r="D25" i="4"/>
  <c r="W8" i="2" s="1"/>
  <c r="K25" i="4"/>
  <c r="AD8" i="2" s="1"/>
  <c r="B36" i="2"/>
  <c r="C36" i="2"/>
  <c r="D36" i="2"/>
  <c r="E36" i="2"/>
  <c r="H36" i="2"/>
  <c r="I36" i="2"/>
  <c r="J36" i="2"/>
  <c r="K36" i="2"/>
  <c r="L36" i="2"/>
  <c r="M36" i="2"/>
  <c r="N36" i="2"/>
  <c r="O36" i="2"/>
  <c r="P36" i="2"/>
  <c r="Q36" i="2"/>
  <c r="R36" i="2"/>
  <c r="S36" i="2"/>
  <c r="U36" i="2"/>
  <c r="AA6" i="2" l="1"/>
  <c r="AC125" i="1"/>
  <c r="AB125" i="1"/>
  <c r="Z6" i="2"/>
  <c r="AD6" i="2"/>
  <c r="AF125" i="1"/>
  <c r="Y125" i="1"/>
  <c r="W6" i="2"/>
  <c r="Z125" i="1"/>
  <c r="X6" i="2"/>
  <c r="F38" i="2"/>
  <c r="AA125" i="1"/>
  <c r="Y6" i="2"/>
  <c r="H121" i="2"/>
  <c r="H125" i="2" s="1"/>
  <c r="G123" i="2"/>
  <c r="G124" i="2" s="1"/>
  <c r="M38" i="2"/>
  <c r="L38" i="2"/>
  <c r="Z38" i="2"/>
  <c r="Z39" i="2" s="1"/>
  <c r="Y38" i="2"/>
  <c r="Y39" i="2" s="1"/>
  <c r="T38" i="2"/>
  <c r="R38" i="2"/>
  <c r="V38" i="2"/>
  <c r="V39" i="2" s="1"/>
  <c r="AB38" i="2"/>
  <c r="AB39" i="2" s="1"/>
  <c r="AC38" i="2"/>
  <c r="AC39" i="2" s="1"/>
  <c r="AD38" i="2"/>
  <c r="AD39" i="2" s="1"/>
  <c r="U38" i="2"/>
  <c r="U39" i="2" s="1"/>
  <c r="I38" i="2"/>
  <c r="H38" i="2"/>
  <c r="AE38" i="2"/>
  <c r="AE39" i="2" s="1"/>
  <c r="J38" i="2"/>
  <c r="S38" i="2"/>
  <c r="P38" i="2"/>
  <c r="Q38" i="2"/>
  <c r="G38" i="2"/>
  <c r="N38" i="2"/>
  <c r="K38" i="2"/>
  <c r="AA38" i="2"/>
  <c r="AA39" i="2" s="1"/>
  <c r="X38" i="2"/>
  <c r="X39" i="2" s="1"/>
  <c r="W38" i="2"/>
  <c r="W39" i="2" s="1"/>
  <c r="O38" i="2"/>
  <c r="AD30" i="2"/>
  <c r="AD35" i="2" s="1"/>
  <c r="AD36" i="2" s="1"/>
  <c r="AD74" i="2"/>
  <c r="AD83" i="2" s="1"/>
  <c r="AD88" i="2" s="1"/>
  <c r="V74" i="2"/>
  <c r="V83" i="2" s="1"/>
  <c r="V88" i="2" s="1"/>
  <c r="V30" i="2"/>
  <c r="W30" i="2"/>
  <c r="W35" i="2" s="1"/>
  <c r="W36" i="2" s="1"/>
  <c r="W74" i="2"/>
  <c r="W83" i="2" s="1"/>
  <c r="W88" i="2" s="1"/>
  <c r="AB30" i="2"/>
  <c r="AB74" i="2"/>
  <c r="AB83" i="2" s="1"/>
  <c r="AB88" i="2" s="1"/>
  <c r="AC30" i="2"/>
  <c r="AC74" i="2"/>
  <c r="AC83" i="2" s="1"/>
  <c r="AC88" i="2" s="1"/>
  <c r="AA30" i="2"/>
  <c r="AA35" i="2" s="1"/>
  <c r="AA36" i="2" s="1"/>
  <c r="AA74" i="2"/>
  <c r="AA83" i="2" s="1"/>
  <c r="AA88" i="2" s="1"/>
  <c r="Z74" i="2"/>
  <c r="Z83" i="2" s="1"/>
  <c r="Z88" i="2" s="1"/>
  <c r="Z30" i="2"/>
  <c r="Z35" i="2" s="1"/>
  <c r="Z36" i="2" s="1"/>
  <c r="Y30" i="2"/>
  <c r="Y35" i="2" s="1"/>
  <c r="Y36" i="2" s="1"/>
  <c r="Y74" i="2"/>
  <c r="Y83" i="2" s="1"/>
  <c r="Y88" i="2" s="1"/>
  <c r="X30" i="2"/>
  <c r="X35" i="2" s="1"/>
  <c r="X36" i="2" s="1"/>
  <c r="X74" i="2"/>
  <c r="X83" i="2" s="1"/>
  <c r="X88" i="2" s="1"/>
  <c r="AE8" i="2"/>
  <c r="AE6" i="2" l="1"/>
  <c r="AG125" i="1"/>
  <c r="H123" i="2"/>
  <c r="H124" i="2" s="1"/>
  <c r="I121" i="2"/>
  <c r="I125" i="2" s="1"/>
  <c r="AA31" i="2"/>
  <c r="AD31" i="2"/>
  <c r="X31" i="2"/>
  <c r="Z31" i="2"/>
  <c r="AC35" i="2"/>
  <c r="AC36" i="2" s="1"/>
  <c r="AC31" i="2"/>
  <c r="AB35" i="2"/>
  <c r="AB36" i="2" s="1"/>
  <c r="AB31" i="2"/>
  <c r="W31" i="2"/>
  <c r="V35" i="2"/>
  <c r="V36" i="2" s="1"/>
  <c r="V31" i="2"/>
  <c r="Y31" i="2"/>
  <c r="AE30" i="2"/>
  <c r="AE35" i="2" s="1"/>
  <c r="AE36" i="2" s="1"/>
  <c r="AE74" i="2"/>
  <c r="AE83" i="2" s="1"/>
  <c r="AE88" i="2" s="1"/>
  <c r="AD40" i="2" l="1"/>
  <c r="AB40" i="2"/>
  <c r="X40" i="2"/>
  <c r="W40" i="2"/>
  <c r="U40" i="2"/>
  <c r="Y40" i="2"/>
  <c r="Z40" i="2"/>
  <c r="AC40" i="2"/>
  <c r="AA40" i="2"/>
  <c r="V40" i="2"/>
  <c r="AE40" i="2"/>
  <c r="I123" i="2"/>
  <c r="I124" i="2" s="1"/>
  <c r="J121" i="2"/>
  <c r="J125" i="2" s="1"/>
  <c r="AE31" i="2"/>
  <c r="AG129" i="1"/>
  <c r="J123" i="2" l="1"/>
  <c r="J124" i="2" s="1"/>
  <c r="K121" i="2"/>
  <c r="K125" i="2" s="1"/>
  <c r="C167" i="1"/>
  <c r="C165" i="1"/>
  <c r="C164" i="1"/>
  <c r="C166" i="1" s="1"/>
  <c r="AF129" i="1"/>
  <c r="AE129" i="1"/>
  <c r="AD129" i="1"/>
  <c r="AC129" i="1"/>
  <c r="AB129" i="1"/>
  <c r="AA129" i="1"/>
  <c r="Z129" i="1"/>
  <c r="Y129" i="1"/>
  <c r="X129" i="1"/>
  <c r="W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G129" i="1"/>
  <c r="F129" i="1"/>
  <c r="E129" i="1"/>
  <c r="L121" i="2" l="1"/>
  <c r="L125" i="2" s="1"/>
  <c r="K123" i="2"/>
  <c r="K124" i="2" s="1"/>
  <c r="C157" i="1"/>
  <c r="C158" i="1" s="1"/>
  <c r="C160" i="1" s="1"/>
  <c r="C161" i="1"/>
  <c r="C159" i="1"/>
  <c r="M121" i="2" l="1"/>
  <c r="M125" i="2" s="1"/>
  <c r="L123" i="2"/>
  <c r="L124" i="2" s="1"/>
  <c r="N121" i="2" l="1"/>
  <c r="N125" i="2" s="1"/>
  <c r="M123" i="2"/>
  <c r="M124" i="2" s="1"/>
  <c r="O121" i="2"/>
  <c r="O125" i="2" s="1"/>
  <c r="N123" i="2"/>
  <c r="N124" i="2" s="1"/>
  <c r="P121" i="2" l="1"/>
  <c r="P125" i="2" s="1"/>
  <c r="O123" i="2"/>
  <c r="O124" i="2" s="1"/>
  <c r="Q121" i="2" l="1"/>
  <c r="Q125" i="2" s="1"/>
  <c r="P123" i="2"/>
  <c r="P124" i="2" s="1"/>
  <c r="R121" i="2" l="1"/>
  <c r="R125" i="2" s="1"/>
  <c r="Q123" i="2"/>
  <c r="Q124" i="2" s="1"/>
  <c r="S121" i="2" l="1"/>
  <c r="S125" i="2" s="1"/>
  <c r="R123" i="2"/>
  <c r="R124" i="2" s="1"/>
  <c r="T121" i="2" l="1"/>
  <c r="S123" i="2"/>
  <c r="S124" i="2" s="1"/>
  <c r="T123" i="2" l="1"/>
  <c r="T124" i="2" s="1"/>
  <c r="T1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tc={17F240C3-ED5B-487F-B645-A04162CF8943}</author>
  </authors>
  <commentList>
    <comment ref="A33" authorId="0" shapeId="0" xr:uid="{17F240C3-ED5B-487F-B645-A04162CF8943}">
      <text>
        <t>[Threaded comment]
Your version of Excel allows you to read this threaded comment; however, any edits to it will get removed if the file is opened in a newer version of Excel. Learn more: https://go.microsoft.com/fwlink/?linkid=870924
Comment:
    Soft Estate not included !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tc={7C8C8536-B66E-4328-AE1D-B32B654C501A}</author>
    <author>tc={D1AAFF02-D04A-43AC-8A08-B0731604423A}</author>
    <author>tc={783B3865-FFA2-4689-92CA-A7B9A8782ED1}</author>
  </authors>
  <commentList>
    <comment ref="E42" authorId="0" shapeId="0" xr:uid="{7C8C8536-B66E-4328-AE1D-B32B654C501A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Bearings Adjusted</t>
      </text>
    </comment>
    <comment ref="F42" authorId="1" shapeId="0" xr:uid="{D1AAFF02-D04A-43AC-8A08-B0731604423A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Bearings Adjusted</t>
      </text>
    </comment>
    <comment ref="I42" authorId="2" shapeId="0" xr:uid="{783B3865-FFA2-4689-92CA-A7B9A8782ED1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Bearings Adjusted</t>
      </text>
    </comment>
  </commentList>
</comments>
</file>

<file path=xl/sharedStrings.xml><?xml version="1.0" encoding="utf-8"?>
<sst xmlns="http://schemas.openxmlformats.org/spreadsheetml/2006/main" count="1509" uniqueCount="410">
  <si>
    <t>30 Year Rolling Asset Management Plan</t>
  </si>
  <si>
    <t>Asset Category</t>
  </si>
  <si>
    <t>Asset activity</t>
  </si>
  <si>
    <t>Units</t>
  </si>
  <si>
    <t>Pavements</t>
  </si>
  <si>
    <t>Linear m</t>
  </si>
  <si>
    <t>50mm Inlay</t>
  </si>
  <si>
    <t>100mm Inlay</t>
  </si>
  <si>
    <t>Reconstruction</t>
  </si>
  <si>
    <t>Investigation and Testing</t>
  </si>
  <si>
    <t>No</t>
  </si>
  <si>
    <t>Geotechnical</t>
  </si>
  <si>
    <t>Scheme</t>
  </si>
  <si>
    <t>Refurbishment (e.g. Granular replacement)</t>
  </si>
  <si>
    <t>Major intervention (e.g. Sheet Piles)</t>
  </si>
  <si>
    <t>Drainage</t>
  </si>
  <si>
    <t>Replace existing surface water drain - REPAIR</t>
  </si>
  <si>
    <t>Replace existing surface water drain - REPLACE</t>
  </si>
  <si>
    <t>Ponds</t>
  </si>
  <si>
    <t>Filter drains</t>
  </si>
  <si>
    <t>linear m</t>
  </si>
  <si>
    <t>Pumps</t>
  </si>
  <si>
    <t>Sqr m</t>
  </si>
  <si>
    <t>m linear</t>
  </si>
  <si>
    <t>Strategic - Bridge &amp; Large Culvert</t>
  </si>
  <si>
    <t>Other Assets</t>
  </si>
  <si>
    <t>Tunnel Civils</t>
  </si>
  <si>
    <t>Tunnels M&amp;E</t>
  </si>
  <si>
    <t>Ventilation</t>
  </si>
  <si>
    <t>Lighting</t>
  </si>
  <si>
    <t>Fire Detection</t>
  </si>
  <si>
    <t>Fire Safety Systems</t>
  </si>
  <si>
    <t>Cross Passage Doors</t>
  </si>
  <si>
    <t>Comms &amp; Traffic Control</t>
  </si>
  <si>
    <t>Traffic Signs and Markings</t>
  </si>
  <si>
    <t>Traffic Monitoring</t>
  </si>
  <si>
    <t>Plant Management &amp; Control (incl. In Comms)</t>
  </si>
  <si>
    <t>Electrical Power &amp; Distribution</t>
  </si>
  <si>
    <t>Buildings</t>
  </si>
  <si>
    <t>Ancillary</t>
  </si>
  <si>
    <t>unit</t>
  </si>
  <si>
    <t>Traffic Signs - Post</t>
  </si>
  <si>
    <t>Traffic Signs - Large repairs</t>
  </si>
  <si>
    <t>Traffic Signs - Medium repairs</t>
  </si>
  <si>
    <t>Traffic Signs - Small repairs</t>
  </si>
  <si>
    <t>Studs</t>
  </si>
  <si>
    <t>Technology</t>
  </si>
  <si>
    <t>Icelert System</t>
  </si>
  <si>
    <t>Schemes</t>
  </si>
  <si>
    <t>Traffic Cameras (incl. in Tunnels)</t>
  </si>
  <si>
    <t>CCTV Matrix (incl. in Tunnels)</t>
  </si>
  <si>
    <t>Gantry Matrix Indicators</t>
  </si>
  <si>
    <t>Signal Transponders</t>
  </si>
  <si>
    <t>Tunnel Wig Wags</t>
  </si>
  <si>
    <t>Post Indicators</t>
  </si>
  <si>
    <t>FTMS</t>
  </si>
  <si>
    <t>PLC</t>
  </si>
  <si>
    <t>Power Supplies</t>
  </si>
  <si>
    <t>Pylon MS4 signs</t>
  </si>
  <si>
    <t>Overheight Detector</t>
  </si>
  <si>
    <t>East Tunnel AID System</t>
  </si>
  <si>
    <t>Km</t>
  </si>
  <si>
    <t>Soft Estate</t>
  </si>
  <si>
    <t>Cultural Heritage Asset Management</t>
  </si>
  <si>
    <t>Vegetation Clearance (Access / Inspection) - Boundary Fence</t>
  </si>
  <si>
    <t>Vegetation Clearance  (Access / Inspection) - Ditches</t>
  </si>
  <si>
    <t>Vegetation Clearance  (Access / Inspection) - Other</t>
  </si>
  <si>
    <t>m2</t>
  </si>
  <si>
    <t>Grassland - Hazardous Tree removal from  Rock and Scree Slopes</t>
  </si>
  <si>
    <t xml:space="preserve">Grassland - Amenity Grass Areas </t>
  </si>
  <si>
    <t>Grassland - Open Grassland - Extended Swathe</t>
  </si>
  <si>
    <t xml:space="preserve">Grassland - Open Grassland - Scrub Clearance </t>
  </si>
  <si>
    <t>Grassland - Open Grassland</t>
  </si>
  <si>
    <t>Grassland - Species Rich (or Conservation) Grassland</t>
  </si>
  <si>
    <t xml:space="preserve">Native Vegetation- Central Reserve              </t>
  </si>
  <si>
    <t xml:space="preserve">Native Vegetation                      </t>
  </si>
  <si>
    <t>Native Hedgerows</t>
  </si>
  <si>
    <t xml:space="preserve">Water Bodies </t>
  </si>
  <si>
    <t>Protected Species Ecological Protection Measures</t>
  </si>
  <si>
    <t>Invasive Plants, Injurious Weeds, Legislated Pests</t>
  </si>
  <si>
    <t>Lane Closure Kilometre Days</t>
  </si>
  <si>
    <t>Lane Km/ days</t>
  </si>
  <si>
    <t>Pavement</t>
  </si>
  <si>
    <t>(1000's £)</t>
  </si>
  <si>
    <t>Structures</t>
  </si>
  <si>
    <t>Tunnels</t>
  </si>
  <si>
    <t>Dartford Crossing</t>
  </si>
  <si>
    <t>Total</t>
  </si>
  <si>
    <t>Asset Category - Handback Condition Profile Test</t>
  </si>
  <si>
    <t>Performance</t>
  </si>
  <si>
    <t>ACCP</t>
  </si>
  <si>
    <t>Geotechnical Assets</t>
  </si>
  <si>
    <t>Specified Structures - Bridges and Large Culverts</t>
  </si>
  <si>
    <t>CPI average</t>
  </si>
  <si>
    <t>Specified Structures - Small Span Structures (*)</t>
  </si>
  <si>
    <t>Not Available</t>
  </si>
  <si>
    <t>Specified Structures - Retaining Walls (*)</t>
  </si>
  <si>
    <t>Specified Structures - Sign / Signal Gantries (*)</t>
  </si>
  <si>
    <t>Specified Structures - Masts (*)</t>
  </si>
  <si>
    <t>Strategic Bridges (Average**)</t>
  </si>
  <si>
    <t>QEII Bridge (Average**)</t>
  </si>
  <si>
    <t>Dartford Tunnels (Average**)</t>
  </si>
  <si>
    <t>Tunnels (Civils and M&amp;E) (*) (Average**)</t>
  </si>
  <si>
    <t>Road Restraint Systems</t>
  </si>
  <si>
    <t>Technology Systems (*)</t>
  </si>
  <si>
    <t>Road Traffic Signs</t>
  </si>
  <si>
    <t>Fences, Walls, Screen and Environmental Barriers</t>
  </si>
  <si>
    <t>Asset Category - Handback Expenditure Test</t>
  </si>
  <si>
    <t>Pre-Expiry 15 Year Period expenditure (1000's £)</t>
  </si>
  <si>
    <t>Average Annual DBFO Co Expenditure (1000's £)</t>
  </si>
  <si>
    <t>Average Annual Post Contract Expenditure (1000's £)</t>
  </si>
  <si>
    <t>125% Average Annual DBFO Co Expenditure (1000's £)</t>
  </si>
  <si>
    <t>Max Annual Post Contract Expenditure (1000's £)</t>
  </si>
  <si>
    <t>Asset Category - Handback Lane Closure Test</t>
  </si>
  <si>
    <t>Average Lane Closure Kilometre Days (lane.km.day)</t>
  </si>
  <si>
    <t>Average Post Contract 15 Year Period Lane Closure Kilometers Days (lane.km.day)</t>
  </si>
  <si>
    <t>125% Average Lane Closure Kilometre Days (lane.km.day)</t>
  </si>
  <si>
    <t>Max Post Contract 15 Year Period Lane Closure Kilometers Days (lane.km.day)</t>
  </si>
  <si>
    <t>3m and 5m Vegetation Cut</t>
  </si>
  <si>
    <t>Enhanced Maintenance (e.g. backfil excavation, minor crack seal with betonite grout)</t>
  </si>
  <si>
    <t>Dartford Tunnels - Secondary Lining</t>
  </si>
  <si>
    <t>Dartford Tunnel - Other (inc. road decks, bearings, grouting, expansion joints, etc.)</t>
  </si>
  <si>
    <t>Nothern Tunnels - (Wall Remedials/Painting, Grouting, Fire Protection, Expansion Joints, etc.)</t>
  </si>
  <si>
    <t>(*) Those asset categories have not been modeled to a level of details allowing Connect Plus to define yearly condition scores but the allowed work plan gives reasonable confidence that the specific</t>
  </si>
  <si>
    <t>Handback requirements related to the condition of those asset categories will be satisfied. for Tunnel assets, this applies only to the Civil work whil a yearly condition forecast of M&amp;E elements has</t>
  </si>
  <si>
    <t>been obtained through the use of Connect Plus Decision Support Tool.</t>
  </si>
  <si>
    <t>(**) The Average value is only an average condition score for the entire asset category for reporting purposes.</t>
  </si>
  <si>
    <t>30mm Inlay</t>
  </si>
  <si>
    <t>Retexturing Bituminous</t>
  </si>
  <si>
    <t>Retexturing Concrete</t>
  </si>
  <si>
    <t>Grouting + Sealing + Overlay on Exposed Sections</t>
  </si>
  <si>
    <t>Maintaining Overlaid Sections</t>
  </si>
  <si>
    <t>HFS Replacement</t>
  </si>
  <si>
    <t>Concrete Bay Replacement</t>
  </si>
  <si>
    <t>Others</t>
  </si>
  <si>
    <t>Estimated Expenditure (technical model in 2020 value)</t>
  </si>
  <si>
    <t>Specified - Bridge &amp; Large Culvert</t>
  </si>
  <si>
    <t>Aluminium Parapet Renewal (m linear)</t>
  </si>
  <si>
    <t>Bearing replacement (numbers)</t>
  </si>
  <si>
    <t>numbers</t>
  </si>
  <si>
    <t>Finish deck element patch painting (refurb) (Sqr m)</t>
  </si>
  <si>
    <t>Finish deck element replacement (renewal) (Sqr m)</t>
  </si>
  <si>
    <t>Finish parapet/ safey fences patch paintin (refurb) (Sqr m)</t>
  </si>
  <si>
    <t>Finish parapet/ safey fences replacement (renewal) (Sqr m)</t>
  </si>
  <si>
    <t>Finish substructure patch painting (refurb) (Sqr m)</t>
  </si>
  <si>
    <t>Movement/ expansion joint replacement (m linear)</t>
  </si>
  <si>
    <t>Steel Reinstated with Finish (Sqr m)</t>
  </si>
  <si>
    <t>STR_18_BRI_MOVEMENT_ME_EMR_REPL_WITH_RAMPS (m linear)</t>
  </si>
  <si>
    <t>Superstructure concrete refurbishment (Sqr m)</t>
  </si>
  <si>
    <t>Waterproofing refurbishment (Sqr m)</t>
  </si>
  <si>
    <t>Waterproofing replacement (Sqr m)</t>
  </si>
  <si>
    <t>Fences, Walls, Screens, and Environmental Barriers - Environmental Barriers</t>
  </si>
  <si>
    <t>Fences, Walls, Screens, and Environmental Barriers - Fences Other</t>
  </si>
  <si>
    <t>Road Restraint System - Full Repacement</t>
  </si>
  <si>
    <t>Road Restraint System - Post Only</t>
  </si>
  <si>
    <t>Road Markings</t>
  </si>
  <si>
    <t>Columns</t>
  </si>
  <si>
    <t>Lit Signs</t>
  </si>
  <si>
    <t>Feeder Pillars, misc component etc</t>
  </si>
  <si>
    <t>QEII Bridge</t>
  </si>
  <si>
    <t>Parapet</t>
  </si>
  <si>
    <t>Bearing replacement</t>
  </si>
  <si>
    <t>Pier No.s</t>
  </si>
  <si>
    <t>Finish deck element replacement (renewal)</t>
  </si>
  <si>
    <t>Superstructure concrete refurbishment</t>
  </si>
  <si>
    <t>Structures BLC Elements Non DST Model</t>
  </si>
  <si>
    <t>Non DST Schemes</t>
  </si>
  <si>
    <t>Structures Non DST Model</t>
  </si>
  <si>
    <t>Inc. Sign Gantry, Retaining Wall, Small Span, High Mast</t>
  </si>
  <si>
    <t>Structures Bespoke Schemes</t>
  </si>
  <si>
    <t xml:space="preserve">Inc. GVV welds, Boston Manor Bearings/Truss/Welds/Early Intervention Opportunities </t>
  </si>
  <si>
    <t>Structures Hidden Defects</t>
  </si>
  <si>
    <t>Inc. PTSI, Half Joints, Internal bearing failures</t>
  </si>
  <si>
    <t>Structures Specialist Access/Inspection</t>
  </si>
  <si>
    <t>Inc. Special Inspections, Specialist Access, PTSI &amp; Half Joints</t>
  </si>
  <si>
    <t>Dartford QEB Bespoke/Hidden Defects</t>
  </si>
  <si>
    <t xml:space="preserve">Inc. Cable Dampers/MacAlloys/ Internal Bearing Failures </t>
  </si>
  <si>
    <t>QEII Bridge Non DST Model Elements</t>
  </si>
  <si>
    <t>Inc.  Tranverse/Hoz Force Bearings, Gantries, Anchors, Cable Stay Paint</t>
  </si>
  <si>
    <t>Dartford Specialist Inspections</t>
  </si>
  <si>
    <t>Inc. Investigations/Specialist Access and QEB/Tunnel PI support</t>
  </si>
  <si>
    <t xml:space="preserve">Structures Monitoring </t>
  </si>
  <si>
    <t>Inc. Delamination, BD79,Cathodic Protection, M4 Elevated, Enhanced Drainage, etc.</t>
  </si>
  <si>
    <t>Structures Contingency Planning</t>
  </si>
  <si>
    <t>Inc. Ramp Systems,Temp. Works, Bearing Protection, Advanced Conceptual Design</t>
  </si>
  <si>
    <t>Dartford Contingency Planning</t>
  </si>
  <si>
    <t>Inc. Fixed Bearings Temp. Works, Bearing Protection, Advanced Conceptual Design</t>
  </si>
  <si>
    <t>Other Assets within Structures Portfolio</t>
  </si>
  <si>
    <t>Other Schemes</t>
  </si>
  <si>
    <t>Ancillaries</t>
  </si>
  <si>
    <t>5-Year AMFP 2020-2025</t>
  </si>
  <si>
    <t>Grand Total</t>
  </si>
  <si>
    <t>30-Year AMP</t>
  </si>
  <si>
    <t>Tunnel Civil</t>
  </si>
  <si>
    <t>Year12</t>
  </si>
  <si>
    <t>Year13</t>
  </si>
  <si>
    <t>Year14</t>
  </si>
  <si>
    <t>Year15</t>
  </si>
  <si>
    <t>Year16</t>
  </si>
  <si>
    <t>Year17</t>
  </si>
  <si>
    <t>Year18</t>
  </si>
  <si>
    <t>Year19</t>
  </si>
  <si>
    <t>Year20</t>
  </si>
  <si>
    <t>Year21</t>
  </si>
  <si>
    <t>Year22</t>
  </si>
  <si>
    <t>Year23</t>
  </si>
  <si>
    <t>Year24</t>
  </si>
  <si>
    <t>Year25</t>
  </si>
  <si>
    <t>Year26</t>
  </si>
  <si>
    <t>Year27</t>
  </si>
  <si>
    <t>Year28</t>
  </si>
  <si>
    <t>Year29</t>
  </si>
  <si>
    <t>Year30</t>
  </si>
  <si>
    <t>Year31</t>
  </si>
  <si>
    <t>Year32</t>
  </si>
  <si>
    <t>Year33</t>
  </si>
  <si>
    <t>Year34</t>
  </si>
  <si>
    <t>Year35</t>
  </si>
  <si>
    <t>Year36</t>
  </si>
  <si>
    <t>Year37</t>
  </si>
  <si>
    <t>Year38</t>
  </si>
  <si>
    <t>Year39</t>
  </si>
  <si>
    <t>Year40</t>
  </si>
  <si>
    <t>Year41</t>
  </si>
  <si>
    <t>2020-2021</t>
  </si>
  <si>
    <t>2021-2022</t>
  </si>
  <si>
    <t>Bespoke Schemes</t>
  </si>
  <si>
    <t>Aluminium Parapet Renewal</t>
  </si>
  <si>
    <t>Multi-Element Movement Joints</t>
  </si>
  <si>
    <t>Finish deck element patch painting (refurb)</t>
  </si>
  <si>
    <t xml:space="preserve">Finish deck element replacement (renewal) </t>
  </si>
  <si>
    <t>Finish parapet/ safey fences patch paintin (refurb)</t>
  </si>
  <si>
    <t>Finish parapet/ safey fences replacement (renewal)</t>
  </si>
  <si>
    <t>Finish substructure patch painting (refurb)</t>
  </si>
  <si>
    <t>Connect Plus</t>
  </si>
  <si>
    <t>Connect Plus Services</t>
  </si>
  <si>
    <t>Handback Expenditure Test - Average</t>
  </si>
  <si>
    <t>CRB</t>
  </si>
  <si>
    <t>Adjustment</t>
  </si>
  <si>
    <t>Strategic</t>
  </si>
  <si>
    <t>Specified</t>
  </si>
  <si>
    <t>£</t>
  </si>
  <si>
    <t>MC Coeff.</t>
  </si>
  <si>
    <t>Asset Activity</t>
  </si>
  <si>
    <t>Scenario2</t>
  </si>
  <si>
    <t>Unit Cost</t>
  </si>
  <si>
    <t>Scenario3</t>
  </si>
  <si>
    <t>Average</t>
  </si>
  <si>
    <t>Difference</t>
  </si>
  <si>
    <t>Average Baseline</t>
  </si>
  <si>
    <t>Waterproofing replacement</t>
  </si>
  <si>
    <t>Waterproofing refurbishment</t>
  </si>
  <si>
    <t>Movement/ expansion joint replacement</t>
  </si>
  <si>
    <t>New Categories</t>
  </si>
  <si>
    <t>2022-2023</t>
  </si>
  <si>
    <t>2023-2024</t>
  </si>
  <si>
    <t>2024-2025</t>
  </si>
  <si>
    <t>2025-2026</t>
  </si>
  <si>
    <t>2026-2027</t>
  </si>
  <si>
    <t>2027-2028</t>
  </si>
  <si>
    <t>2028-2029</t>
  </si>
  <si>
    <t>2029-2030</t>
  </si>
  <si>
    <t>2030-2031</t>
  </si>
  <si>
    <t>2031-2032</t>
  </si>
  <si>
    <t>2032-2033</t>
  </si>
  <si>
    <t>2033-2034</t>
  </si>
  <si>
    <t>2034-2035</t>
  </si>
  <si>
    <t>2035-2036</t>
  </si>
  <si>
    <t>2036-2037</t>
  </si>
  <si>
    <t>2037-2038</t>
  </si>
  <si>
    <t>2038-2039</t>
  </si>
  <si>
    <t>2039-2040</t>
  </si>
  <si>
    <t>2040-2041</t>
  </si>
  <si>
    <t>2041-2042</t>
  </si>
  <si>
    <t>2042-2043</t>
  </si>
  <si>
    <t>PV_TRT_Cost_Update_PQC_FullDepth_Repair_R</t>
  </si>
  <si>
    <t>PV_TRT_Replacement_HFS</t>
  </si>
  <si>
    <t>PV_TRT_PQ_Concrete_Joint_Seals</t>
  </si>
  <si>
    <t>PV_TRT_FWY_Crack_Sealing</t>
  </si>
  <si>
    <t>PV_TRT_Cost_Update_Slab_Grouting+30mm_Inlay_RC+Loops</t>
  </si>
  <si>
    <t>PV_TRT_Cost_Update_Slab_Grouting_R_SCRIM_LPV3</t>
  </si>
  <si>
    <t>PV_TRT_Cost_Update_Retexturing_Bituminous</t>
  </si>
  <si>
    <t>PV_TRT_Cost_Update_Reconstruction_RC+Loops</t>
  </si>
  <si>
    <t>PV_TRT_Cost_Update_Reconstruction_FF+Loops</t>
  </si>
  <si>
    <t>PV_TRT_Cost_Update_PQC_Retexturing_Concrete</t>
  </si>
  <si>
    <t>PV_TRT_Cost_Update_Inlay_50mm_LOOP_TEST</t>
  </si>
  <si>
    <t>PV_TRT_Cost_Update_Inlay_50mm_FF_FC_Rutting_Replace68+</t>
  </si>
  <si>
    <t>PV_TRT_Cost_Update_Inlay_50mm_FF_FC_Replace68+</t>
  </si>
  <si>
    <t>PV_TRT_Cost_Update_Inlay_30mm_FF_FC</t>
  </si>
  <si>
    <t>PV_TRT_Cost_Update_Inlay_30mm_RC_LOOP</t>
  </si>
  <si>
    <t>PV_TRT_Cost_Update_Inlay_100mm_LOOP_TEST_U</t>
  </si>
  <si>
    <t>PV_TRT_Cost_Update_Inlay_100mm_LOOP_TEST_S</t>
  </si>
  <si>
    <t>PV_TRT_Cost_Update_Inlay_100mm_LOOP_TEST_R</t>
  </si>
  <si>
    <t>PV_TRT_Cost_Update_Inlay_100mm_LOOP_TEST_P</t>
  </si>
  <si>
    <t>PV_TRT_Cost_Update_Inlay_100mm_LOOP_TEST_L</t>
  </si>
  <si>
    <t>PV_TRT_Cost_Update_Inlay_100mm_LOOP_TEST_K</t>
  </si>
  <si>
    <t>PV_TRT_Cost_Update_Inlay_100mm_LOOP_TEST_J</t>
  </si>
  <si>
    <t>PV_TRT_Cost_Update_Inlay_100mm_LOOP_TEST_H</t>
  </si>
  <si>
    <t>PV_TRT_Cost_Update_Inlay_100mm_LOOP_TEST_F</t>
  </si>
  <si>
    <t>PV_TRT_Cost_Update_Inlay_100mm_LOOP_TEST_C</t>
  </si>
  <si>
    <t>PV_TRT_Cost_Update_Inlay_100mm_LOOP_TEST_B</t>
  </si>
  <si>
    <t>PV_TRT_Cost_Update_Inlay_100mm_LOOP_TEST_A</t>
  </si>
  <si>
    <t>PV_TRT_Cost_Update_Inlay_100mm_LOOP_TEST</t>
  </si>
  <si>
    <t>PV_TRT_Cost_Update_Inlay_100mm_HFS_LOOP_TEST</t>
  </si>
  <si>
    <t>PV_TRT_Cost_Update_Inlay_100mm_FF_FC_Replace68+_A</t>
  </si>
  <si>
    <t>PV_TRT_Cost_Update_Inlay_100mm_FF_FC_Replace68+</t>
  </si>
  <si>
    <t>Treatment</t>
  </si>
  <si>
    <t>Quants LM</t>
  </si>
  <si>
    <t>Manual 5 YEAR PLAN</t>
  </si>
  <si>
    <t>2039/40</t>
  </si>
  <si>
    <t>2038/39</t>
  </si>
  <si>
    <t>2037/38</t>
  </si>
  <si>
    <t>2036/37</t>
  </si>
  <si>
    <t>2035/36</t>
  </si>
  <si>
    <t>2034/35</t>
  </si>
  <si>
    <t>2033/34</t>
  </si>
  <si>
    <t>2032/33</t>
  </si>
  <si>
    <t>2031/32</t>
  </si>
  <si>
    <t>2030/31</t>
  </si>
  <si>
    <t>2029/30</t>
  </si>
  <si>
    <t>2028/29</t>
  </si>
  <si>
    <t>2027/28</t>
  </si>
  <si>
    <t>2026/27</t>
  </si>
  <si>
    <t>2025/26</t>
  </si>
  <si>
    <t>2024/25</t>
  </si>
  <si>
    <t>2023/24</t>
  </si>
  <si>
    <t>2022/23</t>
  </si>
  <si>
    <t>2021/22</t>
  </si>
  <si>
    <t>2020/21</t>
  </si>
  <si>
    <t>Unit</t>
  </si>
  <si>
    <t>Revised Quantities</t>
  </si>
  <si>
    <t>2040/41</t>
  </si>
  <si>
    <t>2041/42</t>
  </si>
  <si>
    <t>2042/43</t>
  </si>
  <si>
    <t>2043/44</t>
  </si>
  <si>
    <t>2044/45</t>
  </si>
  <si>
    <t>2045/46</t>
  </si>
  <si>
    <t>2046/47</t>
  </si>
  <si>
    <t>2047/48</t>
  </si>
  <si>
    <t>2048/49</t>
  </si>
  <si>
    <t>2049/50</t>
  </si>
  <si>
    <t>AMFP 2019 Values</t>
  </si>
  <si>
    <t>35mm Inlay</t>
  </si>
  <si>
    <t>Concrete Repairs</t>
  </si>
  <si>
    <t>Slab Grouting + 30mm Inlay (incl overlay)</t>
  </si>
  <si>
    <t>Replacement HFS</t>
  </si>
  <si>
    <t>Retexturing</t>
  </si>
  <si>
    <t>Slab Grouting</t>
  </si>
  <si>
    <t>Footway Treatments</t>
  </si>
  <si>
    <t>Enhanced Maintenance</t>
  </si>
  <si>
    <t>Technology (Wavetronix)</t>
  </si>
  <si>
    <t>AMFP2019 Activities</t>
  </si>
  <si>
    <t>Handback Expenditure Test - Target</t>
  </si>
  <si>
    <t>Agile November 2019</t>
  </si>
  <si>
    <t>Geotechnical, Drainage &amp; CRB</t>
  </si>
  <si>
    <t>Strategic &amp; Specified</t>
  </si>
  <si>
    <t>Dartford</t>
  </si>
  <si>
    <t>2043-2044</t>
  </si>
  <si>
    <t>2044-2045</t>
  </si>
  <si>
    <t>2045-2046</t>
  </si>
  <si>
    <t>2046-2047</t>
  </si>
  <si>
    <t>2047-2048</t>
  </si>
  <si>
    <t>2048-2049</t>
  </si>
  <si>
    <t>2049-2050</t>
  </si>
  <si>
    <t>Steel Reinstated with Finish</t>
  </si>
  <si>
    <t>30-Year Plan vs Financial Model</t>
  </si>
  <si>
    <t>Financial Model</t>
  </si>
  <si>
    <t>30-Year Investment Plan</t>
  </si>
  <si>
    <t>Cumulative - Financial Model</t>
  </si>
  <si>
    <t>Cumulative - 30-Year Investment Plan</t>
  </si>
  <si>
    <t>Difference (%)</t>
  </si>
  <si>
    <t>Gade Valley Viaduct</t>
  </si>
  <si>
    <t>Carry-Over</t>
  </si>
  <si>
    <t>Opportunities Specified</t>
  </si>
  <si>
    <t>Opportunities Strategic</t>
  </si>
  <si>
    <t>Baseline Specified</t>
  </si>
  <si>
    <t>Risk Specified</t>
  </si>
  <si>
    <t>Baseline Strategic</t>
  </si>
  <si>
    <t>Risk Strategic</t>
  </si>
  <si>
    <t>Minimum Cumulative</t>
  </si>
  <si>
    <t>Minimum Yearly</t>
  </si>
  <si>
    <t>2019/20</t>
  </si>
  <si>
    <t>2021/22`</t>
  </si>
  <si>
    <t>2020/25</t>
  </si>
  <si>
    <t>Previous Structures and Dartford 5 YP</t>
  </si>
  <si>
    <t>Structures Pre-adjustment</t>
  </si>
  <si>
    <t>New Structures and Dartford 5 YP</t>
  </si>
  <si>
    <t>Structures post-adjustment</t>
  </si>
  <si>
    <t>Diff between 2 plans</t>
  </si>
  <si>
    <t>Estimated increase board meeting £10m</t>
  </si>
  <si>
    <t>Offset from current profile</t>
  </si>
  <si>
    <t>Yearly Offset</t>
  </si>
  <si>
    <t>5YP Impact - Adjustment</t>
  </si>
  <si>
    <t>Road Studs</t>
  </si>
  <si>
    <t>Road Markings and Symbols</t>
  </si>
  <si>
    <t>Lighting Columns</t>
  </si>
  <si>
    <t>Other Lighting Components (*)</t>
  </si>
  <si>
    <t>CPS</t>
  </si>
  <si>
    <t>Investment Profile</t>
  </si>
  <si>
    <t>Average Spend (Forecast)</t>
  </si>
  <si>
    <t>Sum</t>
  </si>
  <si>
    <t>Handback Expenditure Test - Tolerance 25%</t>
  </si>
  <si>
    <t>Key Item</t>
  </si>
  <si>
    <r>
      <rPr>
        <b/>
        <sz val="11"/>
        <color rgb="FF000000"/>
        <rFont val="Calibri"/>
        <family val="2"/>
        <scheme val="minor"/>
      </rPr>
      <t>Bearings</t>
    </r>
    <r>
      <rPr>
        <sz val="11"/>
        <color theme="1"/>
        <rFont val="Calibri"/>
        <family val="2"/>
        <scheme val="minor"/>
      </rPr>
      <t xml:space="preserve">
</t>
    </r>
    <r>
      <rPr>
        <sz val="9"/>
        <color rgb="FF000000"/>
        <rFont val="Calibri"/>
        <family val="2"/>
        <scheme val="minor"/>
      </rPr>
      <t>Systematic replacement required</t>
    </r>
  </si>
  <si>
    <r>
      <rPr>
        <b/>
        <sz val="11"/>
        <color rgb="FF000000"/>
        <rFont val="Calibri"/>
        <family val="2"/>
        <scheme val="minor"/>
      </rPr>
      <t>Multi Element Mouvement Joints</t>
    </r>
    <r>
      <rPr>
        <sz val="11"/>
        <color theme="1"/>
        <rFont val="Calibri"/>
        <family val="2"/>
        <scheme val="minor"/>
      </rPr>
      <t xml:space="preserve">
</t>
    </r>
    <r>
      <rPr>
        <sz val="9"/>
        <color rgb="FF000000"/>
        <rFont val="Calibri"/>
        <family val="2"/>
        <scheme val="minor"/>
      </rPr>
      <t>Systematic replacement required</t>
    </r>
  </si>
  <si>
    <r>
      <rPr>
        <b/>
        <sz val="11"/>
        <color rgb="FF000000"/>
        <rFont val="Calibri"/>
        <family val="2"/>
        <scheme val="minor"/>
      </rPr>
      <t>Painting/Finishes</t>
    </r>
    <r>
      <rPr>
        <sz val="11"/>
        <color theme="1"/>
        <rFont val="Calibri"/>
        <family val="2"/>
        <scheme val="minor"/>
      </rPr>
      <t xml:space="preserve">
</t>
    </r>
    <r>
      <rPr>
        <sz val="9"/>
        <color rgb="FF000000"/>
        <rFont val="Calibri"/>
        <family val="2"/>
        <scheme val="minor"/>
      </rPr>
      <t>Quantities and unit rates underestimated</t>
    </r>
  </si>
  <si>
    <r>
      <rPr>
        <b/>
        <sz val="11"/>
        <color rgb="FF000000"/>
        <rFont val="Calibri"/>
        <family val="2"/>
        <scheme val="minor"/>
      </rPr>
      <t>Concrete Repairs</t>
    </r>
    <r>
      <rPr>
        <sz val="11"/>
        <color theme="1"/>
        <rFont val="Calibri"/>
        <family val="2"/>
        <scheme val="minor"/>
      </rPr>
      <t xml:space="preserve">
</t>
    </r>
    <r>
      <rPr>
        <sz val="9"/>
        <color rgb="FF000000"/>
        <rFont val="Calibri"/>
        <family val="2"/>
        <scheme val="minor"/>
      </rPr>
      <t>Work quantities underestimated</t>
    </r>
  </si>
  <si>
    <r>
      <rPr>
        <b/>
        <sz val="11"/>
        <color rgb="FF000000"/>
        <rFont val="Calibri"/>
        <family val="2"/>
        <scheme val="minor"/>
      </rPr>
      <t>Waterproofing</t>
    </r>
    <r>
      <rPr>
        <sz val="11"/>
        <color theme="1"/>
        <rFont val="Calibri"/>
        <family val="2"/>
        <scheme val="minor"/>
      </rPr>
      <t xml:space="preserve">
</t>
    </r>
    <r>
      <rPr>
        <sz val="9"/>
        <color rgb="FF000000"/>
        <rFont val="Calibri"/>
        <family val="2"/>
        <scheme val="minor"/>
      </rPr>
      <t>Work quantities underestimated</t>
    </r>
  </si>
  <si>
    <t>Monte Carlo Adjusted - PERT Distribution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</si>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</sst>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_-;\-* #,##0.0_-;_-* &quot;-&quot;??_-;_-@_-"/>
    <numFmt numFmtId="165" formatCode="[$-809]dd\ mmmm\ yyyy;@"/>
    <numFmt numFmtId="166" formatCode="_-* #,##0_-;\-* #,##0_-;_-* &quot;-&quot;??_-;_-@_-"/>
    <numFmt numFmtId="167" formatCode="_(&quot;£&quot;* #,##0.00_);_(&quot;£&quot;* \(#,##0.00\);_(&quot;£&quot;* &quot;-&quot;??_);_(@_)"/>
    <numFmt numFmtId="168" formatCode="_-&quot;£&quot;* #,##0_-;\-&quot;£&quot;* #,##0_-;_-&quot;£&quot;* &quot;-&quot;??_-;_-@_-"/>
    <numFmt numFmtId="169" formatCode="&quot;£&quot;#,##0.0&quot;m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FFFFFF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7030A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0"/>
      <color rgb="FF00B050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rgb="FF0070C0"/>
      <name val="Arial"/>
      <family val="2"/>
    </font>
    <font>
      <sz val="10"/>
      <color rgb="FFFFC000"/>
      <name val="Arial"/>
      <family val="2"/>
    </font>
    <font>
      <b/>
      <sz val="10"/>
      <color theme="0"/>
      <name val="Arial"/>
      <family val="2"/>
    </font>
    <font>
      <i/>
      <sz val="10"/>
      <color rgb="FFFF0000"/>
      <name val="Arial"/>
      <family val="2"/>
    </font>
    <font>
      <i/>
      <sz val="10"/>
      <color rgb="FF0070C0"/>
      <name val="Arial"/>
      <family val="2"/>
    </font>
    <font>
      <i/>
      <sz val="10"/>
      <color rgb="FFFFC000"/>
      <name val="Arial"/>
      <family val="2"/>
    </font>
    <font>
      <i/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FFFF00"/>
        <bgColor rgb="FF000000"/>
      </patternFill>
    </fill>
    <fill>
      <patternFill patternType="mediumGray">
        <fgColor rgb="FF0000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Up">
        <bgColor theme="0"/>
      </patternFill>
    </fill>
    <fill>
      <patternFill patternType="solid">
        <fgColor rgb="FFFFDE75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573">
    <xf numFmtId="0" fontId="0" fillId="0" borderId="0" xfId="0"/>
    <xf numFmtId="0" fontId="2" fillId="0" borderId="0" xfId="0" applyFont="1" applyFill="1" applyBorder="1" applyAlignment="1">
      <alignment vertical="center" wrapText="1"/>
    </xf>
    <xf numFmtId="164" fontId="2" fillId="0" borderId="0" xfId="1" applyNumberFormat="1" applyFont="1" applyFill="1" applyBorder="1" applyAlignment="1">
      <alignment vertical="center" shrinkToFi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65" fontId="6" fillId="2" borderId="2" xfId="0" applyNumberFormat="1" applyFont="1" applyFill="1" applyBorder="1" applyAlignment="1">
      <alignment horizontal="center" vertical="center" shrinkToFit="1"/>
    </xf>
    <xf numFmtId="165" fontId="6" fillId="2" borderId="5" xfId="0" applyNumberFormat="1" applyFont="1" applyFill="1" applyBorder="1" applyAlignment="1">
      <alignment horizontal="center" vertical="center" shrinkToFit="1"/>
    </xf>
    <xf numFmtId="1" fontId="6" fillId="2" borderId="5" xfId="0" applyNumberFormat="1" applyFont="1" applyFill="1" applyBorder="1" applyAlignment="1">
      <alignment horizontal="center" vertical="center" shrinkToFit="1"/>
    </xf>
    <xf numFmtId="0" fontId="4" fillId="11" borderId="12" xfId="0" applyFont="1" applyFill="1" applyBorder="1" applyAlignment="1">
      <alignment horizontal="left" vertical="center" wrapText="1"/>
    </xf>
    <xf numFmtId="0" fontId="4" fillId="11" borderId="13" xfId="0" applyFont="1" applyFill="1" applyBorder="1" applyAlignment="1">
      <alignment wrapText="1"/>
    </xf>
    <xf numFmtId="0" fontId="4" fillId="11" borderId="14" xfId="0" applyFont="1" applyFill="1" applyBorder="1" applyAlignment="1">
      <alignment wrapText="1"/>
    </xf>
    <xf numFmtId="164" fontId="4" fillId="11" borderId="5" xfId="1" applyNumberFormat="1" applyFont="1" applyFill="1" applyBorder="1" applyAlignment="1">
      <alignment shrinkToFit="1"/>
    </xf>
    <xf numFmtId="164" fontId="4" fillId="11" borderId="6" xfId="1" applyNumberFormat="1" applyFont="1" applyFill="1" applyBorder="1" applyAlignment="1">
      <alignment shrinkToFit="1"/>
    </xf>
    <xf numFmtId="164" fontId="4" fillId="11" borderId="7" xfId="1" applyNumberFormat="1" applyFont="1" applyFill="1" applyBorder="1" applyAlignment="1">
      <alignment shrinkToFit="1"/>
    </xf>
    <xf numFmtId="0" fontId="4" fillId="11" borderId="8" xfId="0" applyFont="1" applyFill="1" applyBorder="1" applyAlignment="1">
      <alignment horizontal="left" vertical="center" wrapText="1"/>
    </xf>
    <xf numFmtId="0" fontId="4" fillId="11" borderId="0" xfId="0" applyFont="1" applyFill="1" applyBorder="1" applyAlignment="1">
      <alignment wrapText="1"/>
    </xf>
    <xf numFmtId="0" fontId="4" fillId="11" borderId="15" xfId="0" applyFont="1" applyFill="1" applyBorder="1" applyAlignment="1">
      <alignment wrapText="1"/>
    </xf>
    <xf numFmtId="164" fontId="4" fillId="11" borderId="16" xfId="1" applyNumberFormat="1" applyFont="1" applyFill="1" applyBorder="1" applyAlignment="1">
      <alignment shrinkToFit="1"/>
    </xf>
    <xf numFmtId="164" fontId="4" fillId="11" borderId="17" xfId="1" applyNumberFormat="1" applyFont="1" applyFill="1" applyBorder="1" applyAlignment="1">
      <alignment shrinkToFit="1"/>
    </xf>
    <xf numFmtId="164" fontId="4" fillId="11" borderId="18" xfId="1" applyNumberFormat="1" applyFont="1" applyFill="1" applyBorder="1" applyAlignment="1">
      <alignment shrinkToFit="1"/>
    </xf>
    <xf numFmtId="0" fontId="4" fillId="11" borderId="19" xfId="0" applyFont="1" applyFill="1" applyBorder="1" applyAlignment="1">
      <alignment horizontal="left" vertical="center" wrapText="1"/>
    </xf>
    <xf numFmtId="0" fontId="4" fillId="11" borderId="20" xfId="0" applyFont="1" applyFill="1" applyBorder="1" applyAlignment="1">
      <alignment wrapText="1"/>
    </xf>
    <xf numFmtId="0" fontId="4" fillId="11" borderId="0" xfId="0" applyFont="1" applyFill="1" applyBorder="1" applyAlignment="1">
      <alignment horizontal="left" vertical="center" wrapText="1"/>
    </xf>
    <xf numFmtId="0" fontId="4" fillId="0" borderId="24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6" fillId="2" borderId="25" xfId="0" applyFont="1" applyFill="1" applyBorder="1" applyAlignment="1">
      <alignment horizontal="center" vertical="center" wrapText="1"/>
    </xf>
    <xf numFmtId="1" fontId="6" fillId="2" borderId="25" xfId="0" applyNumberFormat="1" applyFont="1" applyFill="1" applyBorder="1" applyAlignment="1">
      <alignment horizontal="center" vertical="center" shrinkToFit="1"/>
    </xf>
    <xf numFmtId="0" fontId="4" fillId="12" borderId="25" xfId="0" applyFont="1" applyFill="1" applyBorder="1" applyAlignment="1">
      <alignment wrapText="1"/>
    </xf>
    <xf numFmtId="43" fontId="4" fillId="12" borderId="25" xfId="1" applyNumberFormat="1" applyFont="1" applyFill="1" applyBorder="1" applyAlignment="1">
      <alignment shrinkToFit="1"/>
    </xf>
    <xf numFmtId="43" fontId="5" fillId="12" borderId="25" xfId="1" applyNumberFormat="1" applyFont="1" applyFill="1" applyBorder="1" applyAlignment="1">
      <alignment shrinkToFit="1"/>
    </xf>
    <xf numFmtId="43" fontId="4" fillId="13" borderId="25" xfId="1" applyNumberFormat="1" applyFont="1" applyFill="1" applyBorder="1" applyAlignment="1">
      <alignment shrinkToFit="1"/>
    </xf>
    <xf numFmtId="164" fontId="4" fillId="0" borderId="0" xfId="1" applyNumberFormat="1" applyFont="1" applyFill="1" applyBorder="1" applyAlignment="1">
      <alignment shrinkToFit="1"/>
    </xf>
    <xf numFmtId="0" fontId="4" fillId="0" borderId="25" xfId="0" applyFont="1" applyFill="1" applyBorder="1" applyAlignment="1">
      <alignment wrapText="1"/>
    </xf>
    <xf numFmtId="166" fontId="4" fillId="0" borderId="25" xfId="0" applyNumberFormat="1" applyFont="1" applyFill="1" applyBorder="1" applyAlignment="1">
      <alignment wrapText="1"/>
    </xf>
    <xf numFmtId="43" fontId="4" fillId="0" borderId="0" xfId="1" applyNumberFormat="1" applyFont="1" applyFill="1" applyBorder="1" applyAlignment="1">
      <alignment shrinkToFit="1"/>
    </xf>
    <xf numFmtId="164" fontId="4" fillId="0" borderId="25" xfId="0" applyNumberFormat="1" applyFont="1" applyFill="1" applyBorder="1" applyAlignment="1">
      <alignment wrapText="1"/>
    </xf>
    <xf numFmtId="165" fontId="6" fillId="2" borderId="0" xfId="0" applyNumberFormat="1" applyFont="1" applyFill="1" applyBorder="1" applyAlignment="1">
      <alignment horizontal="center" vertical="center" shrinkToFit="1"/>
    </xf>
    <xf numFmtId="1" fontId="6" fillId="2" borderId="0" xfId="0" applyNumberFormat="1" applyFont="1" applyFill="1" applyBorder="1" applyAlignment="1">
      <alignment horizontal="center" vertical="center" shrinkToFit="1"/>
    </xf>
    <xf numFmtId="164" fontId="4" fillId="3" borderId="0" xfId="1" applyNumberFormat="1" applyFont="1" applyFill="1" applyBorder="1" applyAlignment="1">
      <alignment horizontal="right" vertical="center" shrinkToFit="1"/>
    </xf>
    <xf numFmtId="164" fontId="4" fillId="4" borderId="0" xfId="1" applyNumberFormat="1" applyFont="1" applyFill="1" applyBorder="1" applyAlignment="1">
      <alignment horizontal="right" vertical="center" shrinkToFit="1"/>
    </xf>
    <xf numFmtId="164" fontId="4" fillId="5" borderId="0" xfId="1" applyNumberFormat="1" applyFont="1" applyFill="1" applyBorder="1" applyAlignment="1">
      <alignment horizontal="right" vertical="center" shrinkToFit="1"/>
    </xf>
    <xf numFmtId="164" fontId="4" fillId="6" borderId="0" xfId="1" applyNumberFormat="1" applyFont="1" applyFill="1" applyBorder="1" applyAlignment="1">
      <alignment horizontal="right" vertical="center" shrinkToFit="1"/>
    </xf>
    <xf numFmtId="164" fontId="4" fillId="7" borderId="0" xfId="1" applyNumberFormat="1" applyFont="1" applyFill="1" applyBorder="1" applyAlignment="1">
      <alignment horizontal="right" vertical="center" shrinkToFit="1"/>
    </xf>
    <xf numFmtId="164" fontId="4" fillId="8" borderId="0" xfId="1" applyNumberFormat="1" applyFont="1" applyFill="1" applyBorder="1" applyAlignment="1">
      <alignment horizontal="right" vertical="center" shrinkToFit="1"/>
    </xf>
    <xf numFmtId="164" fontId="4" fillId="9" borderId="0" xfId="1" applyNumberFormat="1" applyFont="1" applyFill="1" applyBorder="1" applyAlignment="1">
      <alignment horizontal="right" vertical="center" shrinkToFit="1"/>
    </xf>
    <xf numFmtId="164" fontId="4" fillId="0" borderId="0" xfId="1" applyNumberFormat="1" applyFont="1" applyFill="1" applyBorder="1" applyAlignment="1">
      <alignment horizontal="right" vertical="center" shrinkToFit="1"/>
    </xf>
    <xf numFmtId="164" fontId="4" fillId="10" borderId="0" xfId="1" applyNumberFormat="1" applyFont="1" applyFill="1" applyBorder="1" applyAlignment="1">
      <alignment horizontal="right" vertical="center" shrinkToFit="1"/>
    </xf>
    <xf numFmtId="164" fontId="4" fillId="11" borderId="0" xfId="1" applyNumberFormat="1" applyFont="1" applyFill="1" applyBorder="1" applyAlignment="1">
      <alignment shrinkToFit="1"/>
    </xf>
    <xf numFmtId="43" fontId="4" fillId="13" borderId="0" xfId="1" applyNumberFormat="1" applyFont="1" applyFill="1" applyBorder="1" applyAlignment="1">
      <alignment shrinkToFit="1"/>
    </xf>
    <xf numFmtId="0" fontId="4" fillId="0" borderId="0" xfId="0" applyFont="1" applyFill="1" applyBorder="1" applyAlignment="1">
      <alignment horizontal="right" wrapText="1"/>
    </xf>
    <xf numFmtId="164" fontId="4" fillId="11" borderId="4" xfId="1" applyNumberFormat="1" applyFont="1" applyFill="1" applyBorder="1" applyAlignment="1">
      <alignment shrinkToFit="1"/>
    </xf>
    <xf numFmtId="164" fontId="4" fillId="11" borderId="26" xfId="1" applyNumberFormat="1" applyFont="1" applyFill="1" applyBorder="1" applyAlignment="1">
      <alignment shrinkToFit="1"/>
    </xf>
    <xf numFmtId="164" fontId="4" fillId="11" borderId="29" xfId="1" applyNumberFormat="1" applyFont="1" applyFill="1" applyBorder="1" applyAlignment="1">
      <alignment shrinkToFit="1"/>
    </xf>
    <xf numFmtId="164" fontId="4" fillId="11" borderId="24" xfId="1" applyNumberFormat="1" applyFont="1" applyFill="1" applyBorder="1" applyAlignment="1">
      <alignment shrinkToFit="1"/>
    </xf>
    <xf numFmtId="1" fontId="6" fillId="2" borderId="30" xfId="0" applyNumberFormat="1" applyFont="1" applyFill="1" applyBorder="1" applyAlignment="1">
      <alignment horizontal="center" vertical="center" shrinkToFit="1"/>
    </xf>
    <xf numFmtId="164" fontId="4" fillId="0" borderId="0" xfId="0" applyNumberFormat="1" applyFont="1" applyFill="1" applyBorder="1" applyAlignment="1">
      <alignment wrapText="1"/>
    </xf>
    <xf numFmtId="164" fontId="4" fillId="11" borderId="34" xfId="1" applyNumberFormat="1" applyFont="1" applyFill="1" applyBorder="1" applyAlignment="1">
      <alignment shrinkToFit="1"/>
    </xf>
    <xf numFmtId="164" fontId="4" fillId="11" borderId="35" xfId="1" applyNumberFormat="1" applyFont="1" applyFill="1" applyBorder="1" applyAlignment="1">
      <alignment shrinkToFi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4" fontId="0" fillId="0" borderId="0" xfId="0" applyNumberFormat="1"/>
    <xf numFmtId="0" fontId="12" fillId="0" borderId="0" xfId="0" applyFont="1"/>
    <xf numFmtId="165" fontId="13" fillId="2" borderId="5" xfId="0" applyNumberFormat="1" applyFont="1" applyFill="1" applyBorder="1" applyAlignment="1">
      <alignment horizontal="center" vertical="center" shrinkToFit="1"/>
    </xf>
    <xf numFmtId="1" fontId="13" fillId="2" borderId="30" xfId="0" applyNumberFormat="1" applyFont="1" applyFill="1" applyBorder="1" applyAlignment="1">
      <alignment horizontal="center" vertical="center" shrinkToFit="1"/>
    </xf>
    <xf numFmtId="44" fontId="16" fillId="0" borderId="0" xfId="0" applyNumberFormat="1" applyFont="1"/>
    <xf numFmtId="0" fontId="16" fillId="0" borderId="0" xfId="0" applyFont="1"/>
    <xf numFmtId="0" fontId="13" fillId="2" borderId="30" xfId="0" applyNumberFormat="1" applyFont="1" applyFill="1" applyBorder="1" applyAlignment="1">
      <alignment horizontal="center" vertical="center" shrinkToFit="1"/>
    </xf>
    <xf numFmtId="0" fontId="16" fillId="0" borderId="0" xfId="0" applyFont="1" applyFill="1"/>
    <xf numFmtId="0" fontId="12" fillId="0" borderId="0" xfId="0" applyFont="1" applyFill="1"/>
    <xf numFmtId="0" fontId="16" fillId="20" borderId="0" xfId="0" applyFont="1" applyFill="1"/>
    <xf numFmtId="0" fontId="12" fillId="21" borderId="0" xfId="0" applyFont="1" applyFill="1"/>
    <xf numFmtId="165" fontId="13" fillId="2" borderId="4" xfId="0" applyNumberFormat="1" applyFont="1" applyFill="1" applyBorder="1" applyAlignment="1">
      <alignment horizontal="center" vertical="center" shrinkToFit="1"/>
    </xf>
    <xf numFmtId="165" fontId="13" fillId="2" borderId="6" xfId="0" applyNumberFormat="1" applyFont="1" applyFill="1" applyBorder="1" applyAlignment="1">
      <alignment horizontal="center" vertical="center" shrinkToFit="1"/>
    </xf>
    <xf numFmtId="0" fontId="13" fillId="2" borderId="12" xfId="0" applyNumberFormat="1" applyFont="1" applyFill="1" applyBorder="1" applyAlignment="1">
      <alignment horizontal="center" vertical="center" shrinkToFit="1"/>
    </xf>
    <xf numFmtId="0" fontId="13" fillId="2" borderId="40" xfId="0" applyNumberFormat="1" applyFont="1" applyFill="1" applyBorder="1" applyAlignment="1">
      <alignment horizontal="center" vertical="center" shrinkToFit="1"/>
    </xf>
    <xf numFmtId="1" fontId="13" fillId="2" borderId="12" xfId="0" applyNumberFormat="1" applyFont="1" applyFill="1" applyBorder="1" applyAlignment="1">
      <alignment horizontal="center" vertical="center" shrinkToFit="1"/>
    </xf>
    <xf numFmtId="1" fontId="13" fillId="2" borderId="40" xfId="0" applyNumberFormat="1" applyFont="1" applyFill="1" applyBorder="1" applyAlignment="1">
      <alignment horizontal="center" vertical="center" shrinkToFit="1"/>
    </xf>
    <xf numFmtId="44" fontId="12" fillId="21" borderId="41" xfId="0" applyNumberFormat="1" applyFont="1" applyFill="1" applyBorder="1"/>
    <xf numFmtId="44" fontId="12" fillId="21" borderId="0" xfId="0" applyNumberFormat="1" applyFont="1" applyFill="1" applyBorder="1"/>
    <xf numFmtId="44" fontId="16" fillId="21" borderId="0" xfId="0" applyNumberFormat="1" applyFont="1" applyFill="1" applyBorder="1"/>
    <xf numFmtId="0" fontId="12" fillId="21" borderId="0" xfId="0" applyFont="1" applyFill="1" applyBorder="1"/>
    <xf numFmtId="0" fontId="12" fillId="21" borderId="15" xfId="0" applyFont="1" applyFill="1" applyBorder="1"/>
    <xf numFmtId="44" fontId="16" fillId="20" borderId="42" xfId="0" applyNumberFormat="1" applyFont="1" applyFill="1" applyBorder="1"/>
    <xf numFmtId="44" fontId="16" fillId="20" borderId="20" xfId="0" applyNumberFormat="1" applyFont="1" applyFill="1" applyBorder="1"/>
    <xf numFmtId="44" fontId="16" fillId="20" borderId="21" xfId="0" applyNumberFormat="1" applyFont="1" applyFill="1" applyBorder="1"/>
    <xf numFmtId="44" fontId="16" fillId="0" borderId="0" xfId="0" applyNumberFormat="1" applyFont="1" applyFill="1" applyBorder="1"/>
    <xf numFmtId="0" fontId="16" fillId="20" borderId="43" xfId="0" applyFont="1" applyFill="1" applyBorder="1"/>
    <xf numFmtId="0" fontId="16" fillId="20" borderId="42" xfId="0" applyFont="1" applyFill="1" applyBorder="1"/>
    <xf numFmtId="44" fontId="0" fillId="16" borderId="0" xfId="0" applyNumberFormat="1" applyFill="1"/>
    <xf numFmtId="0" fontId="10" fillId="0" borderId="0" xfId="0" applyFont="1"/>
    <xf numFmtId="44" fontId="10" fillId="0" borderId="0" xfId="0" applyNumberFormat="1" applyFont="1"/>
    <xf numFmtId="2" fontId="10" fillId="0" borderId="0" xfId="0" applyNumberFormat="1" applyFont="1"/>
    <xf numFmtId="44" fontId="0" fillId="23" borderId="21" xfId="1" applyNumberFormat="1" applyFont="1" applyFill="1" applyBorder="1"/>
    <xf numFmtId="44" fontId="0" fillId="24" borderId="21" xfId="1" applyNumberFormat="1" applyFont="1" applyFill="1" applyBorder="1"/>
    <xf numFmtId="44" fontId="0" fillId="24" borderId="20" xfId="1" applyNumberFormat="1" applyFont="1" applyFill="1" applyBorder="1"/>
    <xf numFmtId="2" fontId="18" fillId="24" borderId="42" xfId="0" applyNumberFormat="1" applyFont="1" applyFill="1" applyBorder="1" applyAlignment="1">
      <alignment horizontal="center"/>
    </xf>
    <xf numFmtId="2" fontId="18" fillId="24" borderId="44" xfId="0" applyNumberFormat="1" applyFont="1" applyFill="1" applyBorder="1"/>
    <xf numFmtId="2" fontId="0" fillId="24" borderId="44" xfId="0" applyNumberFormat="1" applyFill="1" applyBorder="1"/>
    <xf numFmtId="2" fontId="0" fillId="24" borderId="42" xfId="0" applyNumberFormat="1" applyFill="1" applyBorder="1"/>
    <xf numFmtId="44" fontId="0" fillId="23" borderId="15" xfId="1" applyNumberFormat="1" applyFont="1" applyFill="1" applyBorder="1"/>
    <xf numFmtId="44" fontId="0" fillId="24" borderId="15" xfId="1" applyNumberFormat="1" applyFont="1" applyFill="1" applyBorder="1"/>
    <xf numFmtId="44" fontId="0" fillId="24" borderId="0" xfId="1" applyNumberFormat="1" applyFont="1" applyFill="1" applyBorder="1"/>
    <xf numFmtId="2" fontId="18" fillId="24" borderId="41" xfId="0" applyNumberFormat="1" applyFont="1" applyFill="1" applyBorder="1" applyAlignment="1">
      <alignment horizontal="center"/>
    </xf>
    <xf numFmtId="2" fontId="18" fillId="24" borderId="39" xfId="0" applyNumberFormat="1" applyFont="1" applyFill="1" applyBorder="1"/>
    <xf numFmtId="2" fontId="0" fillId="24" borderId="39" xfId="0" applyNumberFormat="1" applyFill="1" applyBorder="1"/>
    <xf numFmtId="2" fontId="0" fillId="24" borderId="41" xfId="0" applyNumberFormat="1" applyFill="1" applyBorder="1"/>
    <xf numFmtId="44" fontId="0" fillId="25" borderId="15" xfId="1" applyNumberFormat="1" applyFont="1" applyFill="1" applyBorder="1"/>
    <xf numFmtId="44" fontId="0" fillId="25" borderId="0" xfId="1" applyNumberFormat="1" applyFont="1" applyFill="1" applyBorder="1"/>
    <xf numFmtId="2" fontId="18" fillId="25" borderId="41" xfId="0" applyNumberFormat="1" applyFont="1" applyFill="1" applyBorder="1" applyAlignment="1">
      <alignment horizontal="center"/>
    </xf>
    <xf numFmtId="2" fontId="18" fillId="25" borderId="39" xfId="0" applyNumberFormat="1" applyFont="1" applyFill="1" applyBorder="1"/>
    <xf numFmtId="2" fontId="0" fillId="25" borderId="39" xfId="0" applyNumberFormat="1" applyFill="1" applyBorder="1"/>
    <xf numFmtId="2" fontId="0" fillId="25" borderId="41" xfId="0" applyNumberFormat="1" applyFill="1" applyBorder="1"/>
    <xf numFmtId="44" fontId="0" fillId="23" borderId="14" xfId="1" applyNumberFormat="1" applyFont="1" applyFill="1" applyBorder="1"/>
    <xf numFmtId="2" fontId="18" fillId="25" borderId="43" xfId="0" applyNumberFormat="1" applyFont="1" applyFill="1" applyBorder="1" applyAlignment="1">
      <alignment horizontal="center"/>
    </xf>
    <xf numFmtId="2" fontId="18" fillId="25" borderId="38" xfId="0" applyNumberFormat="1" applyFont="1" applyFill="1" applyBorder="1"/>
    <xf numFmtId="2" fontId="0" fillId="25" borderId="38" xfId="0" applyNumberFormat="1" applyFill="1" applyBorder="1"/>
    <xf numFmtId="2" fontId="0" fillId="25" borderId="43" xfId="0" applyNumberFormat="1" applyFill="1" applyBorder="1"/>
    <xf numFmtId="0" fontId="10" fillId="23" borderId="38" xfId="0" applyFont="1" applyFill="1" applyBorder="1" applyAlignment="1">
      <alignment horizontal="right"/>
    </xf>
    <xf numFmtId="0" fontId="10" fillId="20" borderId="13" xfId="0" applyFont="1" applyFill="1" applyBorder="1"/>
    <xf numFmtId="0" fontId="10" fillId="20" borderId="38" xfId="0" applyFont="1" applyFill="1" applyBorder="1"/>
    <xf numFmtId="0" fontId="10" fillId="20" borderId="43" xfId="0" applyFont="1" applyFill="1" applyBorder="1"/>
    <xf numFmtId="44" fontId="0" fillId="23" borderId="44" xfId="1" applyNumberFormat="1" applyFont="1" applyFill="1" applyBorder="1"/>
    <xf numFmtId="44" fontId="0" fillId="20" borderId="20" xfId="1" applyNumberFormat="1" applyFont="1" applyFill="1" applyBorder="1"/>
    <xf numFmtId="44" fontId="0" fillId="20" borderId="42" xfId="1" applyNumberFormat="1" applyFont="1" applyFill="1" applyBorder="1"/>
    <xf numFmtId="2" fontId="18" fillId="20" borderId="44" xfId="0" applyNumberFormat="1" applyFont="1" applyFill="1" applyBorder="1" applyAlignment="1">
      <alignment horizontal="center"/>
    </xf>
    <xf numFmtId="2" fontId="18" fillId="20" borderId="44" xfId="0" applyNumberFormat="1" applyFont="1" applyFill="1" applyBorder="1"/>
    <xf numFmtId="2" fontId="0" fillId="20" borderId="44" xfId="0" applyNumberFormat="1" applyFill="1" applyBorder="1"/>
    <xf numFmtId="2" fontId="0" fillId="20" borderId="42" xfId="0" applyNumberFormat="1" applyFill="1" applyBorder="1"/>
    <xf numFmtId="44" fontId="0" fillId="23" borderId="39" xfId="1" applyNumberFormat="1" applyFont="1" applyFill="1" applyBorder="1"/>
    <xf numFmtId="44" fontId="0" fillId="20" borderId="0" xfId="0" applyNumberFormat="1" applyFill="1"/>
    <xf numFmtId="44" fontId="0" fillId="20" borderId="41" xfId="0" applyNumberFormat="1" applyFill="1" applyBorder="1"/>
    <xf numFmtId="2" fontId="18" fillId="20" borderId="39" xfId="0" applyNumberFormat="1" applyFont="1" applyFill="1" applyBorder="1" applyAlignment="1">
      <alignment horizontal="center"/>
    </xf>
    <xf numFmtId="2" fontId="18" fillId="20" borderId="39" xfId="0" applyNumberFormat="1" applyFont="1" applyFill="1" applyBorder="1"/>
    <xf numFmtId="2" fontId="0" fillId="20" borderId="39" xfId="0" applyNumberFormat="1" applyFill="1" applyBorder="1"/>
    <xf numFmtId="2" fontId="0" fillId="20" borderId="41" xfId="0" applyNumberFormat="1" applyFill="1" applyBorder="1"/>
    <xf numFmtId="44" fontId="0" fillId="20" borderId="0" xfId="1" applyNumberFormat="1" applyFont="1" applyFill="1" applyBorder="1"/>
    <xf numFmtId="44" fontId="0" fillId="20" borderId="41" xfId="1" applyNumberFormat="1" applyFont="1" applyFill="1" applyBorder="1"/>
    <xf numFmtId="44" fontId="0" fillId="26" borderId="0" xfId="1" applyNumberFormat="1" applyFont="1" applyFill="1" applyBorder="1"/>
    <xf numFmtId="44" fontId="0" fillId="26" borderId="41" xfId="1" applyNumberFormat="1" applyFont="1" applyFill="1" applyBorder="1"/>
    <xf numFmtId="2" fontId="18" fillId="26" borderId="39" xfId="0" applyNumberFormat="1" applyFont="1" applyFill="1" applyBorder="1" applyAlignment="1">
      <alignment horizontal="center"/>
    </xf>
    <xf numFmtId="2" fontId="18" fillId="26" borderId="39" xfId="0" applyNumberFormat="1" applyFont="1" applyFill="1" applyBorder="1"/>
    <xf numFmtId="2" fontId="0" fillId="26" borderId="39" xfId="0" applyNumberFormat="1" applyFill="1" applyBorder="1"/>
    <xf numFmtId="2" fontId="0" fillId="26" borderId="41" xfId="0" applyNumberFormat="1" applyFill="1" applyBorder="1"/>
    <xf numFmtId="44" fontId="0" fillId="23" borderId="38" xfId="1" applyNumberFormat="1" applyFont="1" applyFill="1" applyBorder="1"/>
    <xf numFmtId="2" fontId="18" fillId="26" borderId="38" xfId="0" applyNumberFormat="1" applyFont="1" applyFill="1" applyBorder="1" applyAlignment="1">
      <alignment horizontal="center"/>
    </xf>
    <xf numFmtId="2" fontId="18" fillId="26" borderId="38" xfId="0" applyNumberFormat="1" applyFont="1" applyFill="1" applyBorder="1"/>
    <xf numFmtId="2" fontId="0" fillId="26" borderId="38" xfId="0" applyNumberFormat="1" applyFill="1" applyBorder="1"/>
    <xf numFmtId="2" fontId="0" fillId="26" borderId="43" xfId="0" applyNumberFormat="1" applyFill="1" applyBorder="1"/>
    <xf numFmtId="0" fontId="19" fillId="27" borderId="36" xfId="0" applyFont="1" applyFill="1" applyBorder="1"/>
    <xf numFmtId="44" fontId="0" fillId="28" borderId="0" xfId="1" applyNumberFormat="1" applyFont="1" applyFill="1" applyBorder="1"/>
    <xf numFmtId="44" fontId="0" fillId="28" borderId="41" xfId="1" applyNumberFormat="1" applyFont="1" applyFill="1" applyBorder="1"/>
    <xf numFmtId="2" fontId="18" fillId="28" borderId="39" xfId="0" applyNumberFormat="1" applyFont="1" applyFill="1" applyBorder="1" applyAlignment="1">
      <alignment horizontal="center"/>
    </xf>
    <xf numFmtId="2" fontId="18" fillId="28" borderId="39" xfId="0" applyNumberFormat="1" applyFont="1" applyFill="1" applyBorder="1"/>
    <xf numFmtId="2" fontId="0" fillId="28" borderId="39" xfId="0" applyNumberFormat="1" applyFill="1" applyBorder="1"/>
    <xf numFmtId="2" fontId="0" fillId="28" borderId="41" xfId="0" applyNumberFormat="1" applyFill="1" applyBorder="1"/>
    <xf numFmtId="2" fontId="18" fillId="28" borderId="38" xfId="0" applyNumberFormat="1" applyFont="1" applyFill="1" applyBorder="1" applyAlignment="1">
      <alignment horizontal="center"/>
    </xf>
    <xf numFmtId="2" fontId="18" fillId="28" borderId="38" xfId="0" applyNumberFormat="1" applyFont="1" applyFill="1" applyBorder="1"/>
    <xf numFmtId="2" fontId="0" fillId="28" borderId="38" xfId="0" applyNumberFormat="1" applyFill="1" applyBorder="1"/>
    <xf numFmtId="2" fontId="0" fillId="28" borderId="43" xfId="0" applyNumberFormat="1" applyFill="1" applyBorder="1"/>
    <xf numFmtId="0" fontId="10" fillId="16" borderId="0" xfId="0" applyFont="1" applyFill="1"/>
    <xf numFmtId="0" fontId="0" fillId="14" borderId="21" xfId="0" applyFill="1" applyBorder="1"/>
    <xf numFmtId="0" fontId="0" fillId="14" borderId="20" xfId="0" applyFill="1" applyBorder="1"/>
    <xf numFmtId="0" fontId="18" fillId="14" borderId="20" xfId="0" applyFont="1" applyFill="1" applyBorder="1"/>
    <xf numFmtId="0" fontId="18" fillId="14" borderId="44" xfId="0" applyFont="1" applyFill="1" applyBorder="1"/>
    <xf numFmtId="0" fontId="0" fillId="14" borderId="44" xfId="0" applyFill="1" applyBorder="1"/>
    <xf numFmtId="0" fontId="0" fillId="14" borderId="42" xfId="0" applyFill="1" applyBorder="1"/>
    <xf numFmtId="0" fontId="0" fillId="14" borderId="15" xfId="0" applyFill="1" applyBorder="1"/>
    <xf numFmtId="0" fontId="0" fillId="14" borderId="0" xfId="0" applyFill="1"/>
    <xf numFmtId="0" fontId="18" fillId="14" borderId="0" xfId="0" applyFont="1" applyFill="1"/>
    <xf numFmtId="0" fontId="18" fillId="14" borderId="39" xfId="0" applyFont="1" applyFill="1" applyBorder="1"/>
    <xf numFmtId="0" fontId="0" fillId="14" borderId="39" xfId="0" applyFill="1" applyBorder="1"/>
    <xf numFmtId="0" fontId="0" fillId="14" borderId="41" xfId="0" applyFill="1" applyBorder="1"/>
    <xf numFmtId="0" fontId="0" fillId="29" borderId="15" xfId="0" applyFill="1" applyBorder="1"/>
    <xf numFmtId="0" fontId="0" fillId="29" borderId="0" xfId="0" applyFill="1"/>
    <xf numFmtId="0" fontId="18" fillId="29" borderId="0" xfId="0" applyFont="1" applyFill="1"/>
    <xf numFmtId="0" fontId="18" fillId="29" borderId="39" xfId="0" applyFont="1" applyFill="1" applyBorder="1"/>
    <xf numFmtId="0" fontId="0" fillId="29" borderId="39" xfId="0" applyFill="1" applyBorder="1"/>
    <xf numFmtId="0" fontId="0" fillId="29" borderId="41" xfId="0" applyFill="1" applyBorder="1"/>
    <xf numFmtId="0" fontId="10" fillId="20" borderId="33" xfId="0" applyFont="1" applyFill="1" applyBorder="1"/>
    <xf numFmtId="0" fontId="10" fillId="20" borderId="32" xfId="0" applyFont="1" applyFill="1" applyBorder="1"/>
    <xf numFmtId="0" fontId="10" fillId="20" borderId="36" xfId="0" applyFont="1" applyFill="1" applyBorder="1"/>
    <xf numFmtId="0" fontId="10" fillId="20" borderId="31" xfId="0" applyFont="1" applyFill="1" applyBorder="1"/>
    <xf numFmtId="0" fontId="19" fillId="14" borderId="36" xfId="0" applyFont="1" applyFill="1" applyBorder="1"/>
    <xf numFmtId="2" fontId="0" fillId="0" borderId="0" xfId="0" applyNumberFormat="1"/>
    <xf numFmtId="0" fontId="0" fillId="27" borderId="21" xfId="0" applyFill="1" applyBorder="1"/>
    <xf numFmtId="0" fontId="0" fillId="27" borderId="20" xfId="0" applyFill="1" applyBorder="1"/>
    <xf numFmtId="0" fontId="18" fillId="27" borderId="20" xfId="0" applyFont="1" applyFill="1" applyBorder="1"/>
    <xf numFmtId="0" fontId="18" fillId="27" borderId="44" xfId="0" applyFont="1" applyFill="1" applyBorder="1"/>
    <xf numFmtId="0" fontId="0" fillId="27" borderId="44" xfId="0" applyFill="1" applyBorder="1"/>
    <xf numFmtId="0" fontId="0" fillId="27" borderId="42" xfId="0" applyFill="1" applyBorder="1"/>
    <xf numFmtId="0" fontId="0" fillId="27" borderId="15" xfId="0" applyFill="1" applyBorder="1"/>
    <xf numFmtId="0" fontId="0" fillId="27" borderId="0" xfId="0" applyFill="1"/>
    <xf numFmtId="0" fontId="18" fillId="27" borderId="0" xfId="0" applyFont="1" applyFill="1"/>
    <xf numFmtId="0" fontId="18" fillId="27" borderId="39" xfId="0" applyFont="1" applyFill="1" applyBorder="1"/>
    <xf numFmtId="0" fontId="0" fillId="27" borderId="39" xfId="0" applyFill="1" applyBorder="1"/>
    <xf numFmtId="0" fontId="0" fillId="27" borderId="41" xfId="0" applyFill="1" applyBorder="1"/>
    <xf numFmtId="0" fontId="0" fillId="30" borderId="15" xfId="0" applyFill="1" applyBorder="1"/>
    <xf numFmtId="0" fontId="0" fillId="30" borderId="0" xfId="0" applyFill="1"/>
    <xf numFmtId="0" fontId="18" fillId="30" borderId="0" xfId="0" applyFont="1" applyFill="1"/>
    <xf numFmtId="0" fontId="18" fillId="30" borderId="39" xfId="0" applyFont="1" applyFill="1" applyBorder="1"/>
    <xf numFmtId="0" fontId="0" fillId="30" borderId="39" xfId="0" applyFill="1" applyBorder="1"/>
    <xf numFmtId="0" fontId="0" fillId="30" borderId="41" xfId="0" applyFill="1" applyBorder="1"/>
    <xf numFmtId="43" fontId="0" fillId="0" borderId="0" xfId="0" applyNumberFormat="1"/>
    <xf numFmtId="43" fontId="0" fillId="24" borderId="20" xfId="1" applyFont="1" applyFill="1" applyBorder="1"/>
    <xf numFmtId="43" fontId="0" fillId="24" borderId="42" xfId="1" applyFont="1" applyFill="1" applyBorder="1"/>
    <xf numFmtId="2" fontId="0" fillId="24" borderId="21" xfId="0" applyNumberFormat="1" applyFill="1" applyBorder="1"/>
    <xf numFmtId="43" fontId="0" fillId="24" borderId="0" xfId="1" applyFont="1" applyFill="1" applyBorder="1"/>
    <xf numFmtId="43" fontId="0" fillId="24" borderId="41" xfId="1" applyFont="1" applyFill="1" applyBorder="1"/>
    <xf numFmtId="2" fontId="0" fillId="24" borderId="15" xfId="0" applyNumberFormat="1" applyFill="1" applyBorder="1"/>
    <xf numFmtId="43" fontId="0" fillId="25" borderId="0" xfId="1" applyFont="1" applyFill="1" applyBorder="1"/>
    <xf numFmtId="43" fontId="0" fillId="25" borderId="41" xfId="1" applyFont="1" applyFill="1" applyBorder="1"/>
    <xf numFmtId="2" fontId="0" fillId="25" borderId="15" xfId="0" applyNumberFormat="1" applyFill="1" applyBorder="1"/>
    <xf numFmtId="2" fontId="0" fillId="25" borderId="14" xfId="0" applyNumberFormat="1" applyFill="1" applyBorder="1"/>
    <xf numFmtId="0" fontId="0" fillId="24" borderId="42" xfId="0" applyFill="1" applyBorder="1"/>
    <xf numFmtId="0" fontId="0" fillId="24" borderId="41" xfId="0" applyFill="1" applyBorder="1"/>
    <xf numFmtId="0" fontId="0" fillId="24" borderId="43" xfId="0" applyFill="1" applyBorder="1"/>
    <xf numFmtId="0" fontId="19" fillId="0" borderId="0" xfId="0" applyFont="1"/>
    <xf numFmtId="1" fontId="0" fillId="0" borderId="0" xfId="0" applyNumberFormat="1"/>
    <xf numFmtId="0" fontId="0" fillId="16" borderId="0" xfId="0" applyFill="1"/>
    <xf numFmtId="0" fontId="0" fillId="0" borderId="0" xfId="0" applyBorder="1"/>
    <xf numFmtId="44" fontId="0" fillId="24" borderId="13" xfId="0" applyNumberFormat="1" applyFill="1" applyBorder="1"/>
    <xf numFmtId="44" fontId="0" fillId="24" borderId="14" xfId="0" applyNumberFormat="1" applyFill="1" applyBorder="1"/>
    <xf numFmtId="44" fontId="0" fillId="24" borderId="0" xfId="0" applyNumberFormat="1" applyFill="1" applyBorder="1"/>
    <xf numFmtId="44" fontId="0" fillId="24" borderId="15" xfId="0" applyNumberFormat="1" applyFill="1" applyBorder="1"/>
    <xf numFmtId="44" fontId="0" fillId="24" borderId="20" xfId="0" applyNumberFormat="1" applyFill="1" applyBorder="1"/>
    <xf numFmtId="44" fontId="0" fillId="24" borderId="21" xfId="0" applyNumberFormat="1" applyFill="1" applyBorder="1"/>
    <xf numFmtId="44" fontId="0" fillId="24" borderId="43" xfId="0" applyNumberFormat="1" applyFill="1" applyBorder="1"/>
    <xf numFmtId="44" fontId="0" fillId="24" borderId="41" xfId="0" applyNumberFormat="1" applyFill="1" applyBorder="1"/>
    <xf numFmtId="44" fontId="0" fillId="24" borderId="42" xfId="0" applyNumberFormat="1" applyFill="1" applyBorder="1"/>
    <xf numFmtId="44" fontId="10" fillId="16" borderId="31" xfId="0" applyNumberFormat="1" applyFont="1" applyFill="1" applyBorder="1"/>
    <xf numFmtId="44" fontId="10" fillId="16" borderId="32" xfId="0" applyNumberFormat="1" applyFont="1" applyFill="1" applyBorder="1"/>
    <xf numFmtId="44" fontId="10" fillId="16" borderId="33" xfId="0" applyNumberFormat="1" applyFont="1" applyFill="1" applyBorder="1"/>
    <xf numFmtId="0" fontId="0" fillId="20" borderId="0" xfId="0" applyFill="1" applyBorder="1"/>
    <xf numFmtId="0" fontId="0" fillId="20" borderId="15" xfId="0" applyFill="1" applyBorder="1"/>
    <xf numFmtId="0" fontId="0" fillId="20" borderId="20" xfId="0" applyFill="1" applyBorder="1"/>
    <xf numFmtId="0" fontId="0" fillId="20" borderId="21" xfId="0" applyFill="1" applyBorder="1"/>
    <xf numFmtId="0" fontId="0" fillId="20" borderId="38" xfId="0" applyFill="1" applyBorder="1"/>
    <xf numFmtId="0" fontId="0" fillId="20" borderId="39" xfId="0" applyFill="1" applyBorder="1"/>
    <xf numFmtId="0" fontId="0" fillId="20" borderId="44" xfId="0" applyFill="1" applyBorder="1"/>
    <xf numFmtId="43" fontId="0" fillId="20" borderId="38" xfId="0" applyNumberFormat="1" applyFill="1" applyBorder="1"/>
    <xf numFmtId="43" fontId="0" fillId="20" borderId="39" xfId="0" applyNumberFormat="1" applyFill="1" applyBorder="1"/>
    <xf numFmtId="43" fontId="0" fillId="20" borderId="44" xfId="0" applyNumberFormat="1" applyFill="1" applyBorder="1"/>
    <xf numFmtId="44" fontId="12" fillId="21" borderId="15" xfId="0" applyNumberFormat="1" applyFont="1" applyFill="1" applyBorder="1"/>
    <xf numFmtId="44" fontId="12" fillId="21" borderId="42" xfId="0" applyNumberFormat="1" applyFont="1" applyFill="1" applyBorder="1"/>
    <xf numFmtId="44" fontId="12" fillId="21" borderId="20" xfId="0" applyNumberFormat="1" applyFont="1" applyFill="1" applyBorder="1"/>
    <xf numFmtId="44" fontId="12" fillId="21" borderId="21" xfId="0" applyNumberFormat="1" applyFont="1" applyFill="1" applyBorder="1"/>
    <xf numFmtId="1" fontId="0" fillId="24" borderId="45" xfId="0" applyNumberFormat="1" applyFill="1" applyBorder="1"/>
    <xf numFmtId="0" fontId="0" fillId="24" borderId="45" xfId="0" applyFill="1" applyBorder="1"/>
    <xf numFmtId="0" fontId="0" fillId="0" borderId="45" xfId="0" applyBorder="1"/>
    <xf numFmtId="1" fontId="0" fillId="0" borderId="45" xfId="0" applyNumberFormat="1" applyBorder="1"/>
    <xf numFmtId="0" fontId="10" fillId="0" borderId="45" xfId="0" applyFont="1" applyBorder="1"/>
    <xf numFmtId="0" fontId="20" fillId="0" borderId="45" xfId="0" applyFont="1" applyBorder="1"/>
    <xf numFmtId="0" fontId="21" fillId="0" borderId="45" xfId="0" applyFont="1" applyBorder="1"/>
    <xf numFmtId="0" fontId="0" fillId="31" borderId="45" xfId="0" applyFill="1" applyBorder="1"/>
    <xf numFmtId="0" fontId="10" fillId="31" borderId="45" xfId="0" applyFont="1" applyFill="1" applyBorder="1"/>
    <xf numFmtId="0" fontId="21" fillId="0" borderId="45" xfId="0" applyFont="1" applyBorder="1" applyAlignment="1">
      <alignment horizontal="center" vertical="center"/>
    </xf>
    <xf numFmtId="0" fontId="0" fillId="0" borderId="48" xfId="0" applyBorder="1"/>
    <xf numFmtId="168" fontId="10" fillId="0" borderId="33" xfId="2" applyNumberFormat="1" applyFont="1" applyBorder="1"/>
    <xf numFmtId="168" fontId="10" fillId="0" borderId="32" xfId="2" applyNumberFormat="1" applyFont="1" applyBorder="1"/>
    <xf numFmtId="168" fontId="10" fillId="16" borderId="32" xfId="2" applyNumberFormat="1" applyFont="1" applyFill="1" applyBorder="1"/>
    <xf numFmtId="168" fontId="10" fillId="16" borderId="31" xfId="2" applyNumberFormat="1" applyFont="1" applyFill="1" applyBorder="1"/>
    <xf numFmtId="166" fontId="0" fillId="21" borderId="21" xfId="1" applyNumberFormat="1" applyFont="1" applyFill="1" applyBorder="1"/>
    <xf numFmtId="166" fontId="0" fillId="21" borderId="20" xfId="1" applyNumberFormat="1" applyFont="1" applyFill="1" applyBorder="1"/>
    <xf numFmtId="166" fontId="0" fillId="14" borderId="21" xfId="1" applyNumberFormat="1" applyFont="1" applyFill="1" applyBorder="1"/>
    <xf numFmtId="166" fontId="0" fillId="14" borderId="20" xfId="1" applyNumberFormat="1" applyFont="1" applyFill="1" applyBorder="1"/>
    <xf numFmtId="166" fontId="0" fillId="14" borderId="42" xfId="1" applyNumberFormat="1" applyFont="1" applyFill="1" applyBorder="1"/>
    <xf numFmtId="166" fontId="0" fillId="21" borderId="15" xfId="1" applyNumberFormat="1" applyFont="1" applyFill="1" applyBorder="1"/>
    <xf numFmtId="166" fontId="0" fillId="21" borderId="0" xfId="1" applyNumberFormat="1" applyFont="1" applyFill="1" applyBorder="1"/>
    <xf numFmtId="166" fontId="0" fillId="14" borderId="15" xfId="1" applyNumberFormat="1" applyFont="1" applyFill="1" applyBorder="1"/>
    <xf numFmtId="166" fontId="0" fillId="14" borderId="0" xfId="1" applyNumberFormat="1" applyFont="1" applyFill="1" applyBorder="1"/>
    <xf numFmtId="166" fontId="0" fillId="14" borderId="41" xfId="1" applyNumberFormat="1" applyFont="1" applyFill="1" applyBorder="1"/>
    <xf numFmtId="166" fontId="0" fillId="21" borderId="14" xfId="1" applyNumberFormat="1" applyFont="1" applyFill="1" applyBorder="1"/>
    <xf numFmtId="166" fontId="0" fillId="21" borderId="13" xfId="1" applyNumberFormat="1" applyFont="1" applyFill="1" applyBorder="1"/>
    <xf numFmtId="166" fontId="0" fillId="14" borderId="14" xfId="1" applyNumberFormat="1" applyFont="1" applyFill="1" applyBorder="1"/>
    <xf numFmtId="166" fontId="0" fillId="14" borderId="13" xfId="1" applyNumberFormat="1" applyFont="1" applyFill="1" applyBorder="1"/>
    <xf numFmtId="166" fontId="0" fillId="14" borderId="43" xfId="1" applyNumberFormat="1" applyFont="1" applyFill="1" applyBorder="1"/>
    <xf numFmtId="0" fontId="10" fillId="0" borderId="14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43" xfId="0" applyFont="1" applyBorder="1" applyAlignment="1">
      <alignment horizontal="left"/>
    </xf>
    <xf numFmtId="0" fontId="10" fillId="0" borderId="36" xfId="0" applyFont="1" applyBorder="1" applyAlignment="1">
      <alignment horizontal="left"/>
    </xf>
    <xf numFmtId="44" fontId="22" fillId="0" borderId="0" xfId="0" applyNumberFormat="1" applyFont="1"/>
    <xf numFmtId="0" fontId="23" fillId="0" borderId="0" xfId="0" applyFont="1"/>
    <xf numFmtId="2" fontId="23" fillId="0" borderId="0" xfId="0" applyNumberFormat="1" applyFont="1"/>
    <xf numFmtId="43" fontId="0" fillId="0" borderId="0" xfId="1" applyFont="1"/>
    <xf numFmtId="166" fontId="0" fillId="0" borderId="0" xfId="1" applyNumberFormat="1" applyFont="1"/>
    <xf numFmtId="0" fontId="0" fillId="0" borderId="0" xfId="0" applyBorder="1" applyAlignment="1">
      <alignment horizontal="left"/>
    </xf>
    <xf numFmtId="0" fontId="0" fillId="24" borderId="0" xfId="0" applyFill="1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24" borderId="39" xfId="0" applyFill="1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0" xfId="0" applyFont="1" applyFill="1" applyBorder="1" applyAlignment="1">
      <alignment horizontal="left"/>
    </xf>
    <xf numFmtId="44" fontId="12" fillId="21" borderId="13" xfId="0" applyNumberFormat="1" applyFont="1" applyFill="1" applyBorder="1"/>
    <xf numFmtId="44" fontId="12" fillId="21" borderId="43" xfId="0" applyNumberFormat="1" applyFont="1" applyFill="1" applyBorder="1"/>
    <xf numFmtId="44" fontId="12" fillId="21" borderId="14" xfId="0" applyNumberFormat="1" applyFont="1" applyFill="1" applyBorder="1"/>
    <xf numFmtId="0" fontId="16" fillId="21" borderId="0" xfId="0" applyFont="1" applyFill="1" applyBorder="1"/>
    <xf numFmtId="0" fontId="16" fillId="0" borderId="0" xfId="0" applyFont="1" applyBorder="1"/>
    <xf numFmtId="44" fontId="12" fillId="32" borderId="13" xfId="0" applyNumberFormat="1" applyFont="1" applyFill="1" applyBorder="1"/>
    <xf numFmtId="44" fontId="12" fillId="32" borderId="43" xfId="0" applyNumberFormat="1" applyFont="1" applyFill="1" applyBorder="1"/>
    <xf numFmtId="44" fontId="12" fillId="32" borderId="14" xfId="0" applyNumberFormat="1" applyFont="1" applyFill="1" applyBorder="1"/>
    <xf numFmtId="44" fontId="12" fillId="14" borderId="0" xfId="0" applyNumberFormat="1" applyFont="1" applyFill="1" applyBorder="1"/>
    <xf numFmtId="0" fontId="16" fillId="22" borderId="43" xfId="0" applyFont="1" applyFill="1" applyBorder="1"/>
    <xf numFmtId="0" fontId="16" fillId="22" borderId="41" xfId="0" applyFont="1" applyFill="1" applyBorder="1"/>
    <xf numFmtId="44" fontId="12" fillId="14" borderId="15" xfId="0" applyNumberFormat="1" applyFont="1" applyFill="1" applyBorder="1"/>
    <xf numFmtId="43" fontId="10" fillId="0" borderId="0" xfId="0" applyNumberFormat="1" applyFont="1"/>
    <xf numFmtId="166" fontId="10" fillId="0" borderId="0" xfId="1" applyNumberFormat="1" applyFont="1"/>
    <xf numFmtId="44" fontId="16" fillId="21" borderId="20" xfId="0" applyNumberFormat="1" applyFont="1" applyFill="1" applyBorder="1"/>
    <xf numFmtId="0" fontId="12" fillId="21" borderId="42" xfId="0" applyFont="1" applyFill="1" applyBorder="1"/>
    <xf numFmtId="44" fontId="16" fillId="14" borderId="42" xfId="0" applyNumberFormat="1" applyFont="1" applyFill="1" applyBorder="1"/>
    <xf numFmtId="44" fontId="16" fillId="14" borderId="20" xfId="0" applyNumberFormat="1" applyFont="1" applyFill="1" applyBorder="1"/>
    <xf numFmtId="44" fontId="16" fillId="14" borderId="21" xfId="0" applyNumberFormat="1" applyFont="1" applyFill="1" applyBorder="1"/>
    <xf numFmtId="44" fontId="12" fillId="20" borderId="43" xfId="0" applyNumberFormat="1" applyFont="1" applyFill="1" applyBorder="1"/>
    <xf numFmtId="44" fontId="12" fillId="20" borderId="13" xfId="0" applyNumberFormat="1" applyFont="1" applyFill="1" applyBorder="1"/>
    <xf numFmtId="44" fontId="12" fillId="20" borderId="14" xfId="0" applyNumberFormat="1" applyFont="1" applyFill="1" applyBorder="1"/>
    <xf numFmtId="44" fontId="24" fillId="20" borderId="13" xfId="0" applyNumberFormat="1" applyFont="1" applyFill="1" applyBorder="1"/>
    <xf numFmtId="44" fontId="24" fillId="20" borderId="14" xfId="0" applyNumberFormat="1" applyFont="1" applyFill="1" applyBorder="1"/>
    <xf numFmtId="0" fontId="26" fillId="0" borderId="0" xfId="0" applyFont="1" applyFill="1"/>
    <xf numFmtId="44" fontId="15" fillId="20" borderId="0" xfId="0" applyNumberFormat="1" applyFont="1" applyFill="1" applyBorder="1"/>
    <xf numFmtId="44" fontId="15" fillId="20" borderId="15" xfId="0" applyNumberFormat="1" applyFont="1" applyFill="1" applyBorder="1"/>
    <xf numFmtId="0" fontId="14" fillId="0" borderId="0" xfId="0" applyFont="1" applyFill="1"/>
    <xf numFmtId="44" fontId="25" fillId="20" borderId="20" xfId="0" applyNumberFormat="1" applyFont="1" applyFill="1" applyBorder="1"/>
    <xf numFmtId="44" fontId="25" fillId="20" borderId="21" xfId="0" applyNumberFormat="1" applyFont="1" applyFill="1" applyBorder="1"/>
    <xf numFmtId="0" fontId="27" fillId="0" borderId="0" xfId="0" applyFont="1" applyFill="1"/>
    <xf numFmtId="44" fontId="14" fillId="21" borderId="43" xfId="0" applyNumberFormat="1" applyFont="1" applyFill="1" applyBorder="1"/>
    <xf numFmtId="44" fontId="14" fillId="21" borderId="13" xfId="0" applyNumberFormat="1" applyFont="1" applyFill="1" applyBorder="1"/>
    <xf numFmtId="44" fontId="14" fillId="21" borderId="41" xfId="0" applyNumberFormat="1" applyFont="1" applyFill="1" applyBorder="1"/>
    <xf numFmtId="44" fontId="14" fillId="21" borderId="0" xfId="0" applyNumberFormat="1" applyFont="1" applyFill="1" applyBorder="1"/>
    <xf numFmtId="44" fontId="28" fillId="21" borderId="13" xfId="0" applyNumberFormat="1" applyFont="1" applyFill="1" applyBorder="1"/>
    <xf numFmtId="44" fontId="29" fillId="21" borderId="13" xfId="0" applyNumberFormat="1" applyFont="1" applyFill="1" applyBorder="1"/>
    <xf numFmtId="44" fontId="29" fillId="21" borderId="14" xfId="0" applyNumberFormat="1" applyFont="1" applyFill="1" applyBorder="1"/>
    <xf numFmtId="44" fontId="28" fillId="21" borderId="0" xfId="0" applyNumberFormat="1" applyFont="1" applyFill="1" applyBorder="1"/>
    <xf numFmtId="44" fontId="28" fillId="21" borderId="15" xfId="0" applyNumberFormat="1" applyFont="1" applyFill="1" applyBorder="1"/>
    <xf numFmtId="0" fontId="30" fillId="17" borderId="0" xfId="0" applyFont="1" applyFill="1"/>
    <xf numFmtId="0" fontId="30" fillId="18" borderId="0" xfId="0" applyFont="1" applyFill="1"/>
    <xf numFmtId="0" fontId="30" fillId="19" borderId="0" xfId="0" applyFont="1" applyFill="1"/>
    <xf numFmtId="0" fontId="30" fillId="15" borderId="0" xfId="0" applyFont="1" applyFill="1"/>
    <xf numFmtId="0" fontId="16" fillId="32" borderId="38" xfId="0" applyFont="1" applyFill="1" applyBorder="1"/>
    <xf numFmtId="0" fontId="16" fillId="32" borderId="39" xfId="0" applyFont="1" applyFill="1" applyBorder="1"/>
    <xf numFmtId="0" fontId="16" fillId="32" borderId="44" xfId="0" applyFont="1" applyFill="1" applyBorder="1"/>
    <xf numFmtId="0" fontId="16" fillId="22" borderId="42" xfId="0" applyFont="1" applyFill="1" applyBorder="1"/>
    <xf numFmtId="44" fontId="28" fillId="21" borderId="14" xfId="0" applyNumberFormat="1" applyFont="1" applyFill="1" applyBorder="1"/>
    <xf numFmtId="0" fontId="30" fillId="0" borderId="0" xfId="0" applyFont="1" applyFill="1"/>
    <xf numFmtId="44" fontId="14" fillId="21" borderId="42" xfId="0" applyNumberFormat="1" applyFont="1" applyFill="1" applyBorder="1"/>
    <xf numFmtId="1" fontId="13" fillId="2" borderId="43" xfId="0" applyNumberFormat="1" applyFont="1" applyFill="1" applyBorder="1" applyAlignment="1">
      <alignment horizontal="center" vertical="center" shrinkToFit="1"/>
    </xf>
    <xf numFmtId="1" fontId="13" fillId="2" borderId="13" xfId="0" applyNumberFormat="1" applyFont="1" applyFill="1" applyBorder="1" applyAlignment="1">
      <alignment horizontal="center" vertical="center" shrinkToFit="1"/>
    </xf>
    <xf numFmtId="1" fontId="13" fillId="2" borderId="14" xfId="0" applyNumberFormat="1" applyFont="1" applyFill="1" applyBorder="1" applyAlignment="1">
      <alignment horizontal="center" vertical="center" shrinkToFit="1"/>
    </xf>
    <xf numFmtId="0" fontId="5" fillId="11" borderId="0" xfId="0" applyFont="1" applyFill="1" applyBorder="1" applyAlignment="1">
      <alignment wrapText="1"/>
    </xf>
    <xf numFmtId="166" fontId="0" fillId="16" borderId="0" xfId="0" applyNumberFormat="1" applyFill="1"/>
    <xf numFmtId="1" fontId="10" fillId="0" borderId="0" xfId="0" applyNumberFormat="1" applyFont="1" applyFill="1"/>
    <xf numFmtId="1" fontId="30" fillId="19" borderId="0" xfId="0" applyNumberFormat="1" applyFont="1" applyFill="1"/>
    <xf numFmtId="0" fontId="12" fillId="21" borderId="43" xfId="0" applyFont="1" applyFill="1" applyBorder="1"/>
    <xf numFmtId="1" fontId="0" fillId="20" borderId="0" xfId="0" applyNumberFormat="1" applyFill="1" applyBorder="1"/>
    <xf numFmtId="1" fontId="0" fillId="16" borderId="0" xfId="0" applyNumberFormat="1" applyFill="1" applyBorder="1"/>
    <xf numFmtId="1" fontId="0" fillId="20" borderId="15" xfId="0" applyNumberFormat="1" applyFill="1" applyBorder="1"/>
    <xf numFmtId="0" fontId="12" fillId="21" borderId="38" xfId="0" applyFont="1" applyFill="1" applyBorder="1"/>
    <xf numFmtId="0" fontId="12" fillId="21" borderId="39" xfId="0" applyFont="1" applyFill="1" applyBorder="1"/>
    <xf numFmtId="0" fontId="12" fillId="21" borderId="44" xfId="0" applyFont="1" applyFill="1" applyBorder="1"/>
    <xf numFmtId="10" fontId="12" fillId="21" borderId="42" xfId="0" applyNumberFormat="1" applyFont="1" applyFill="1" applyBorder="1"/>
    <xf numFmtId="10" fontId="12" fillId="21" borderId="20" xfId="0" applyNumberFormat="1" applyFont="1" applyFill="1" applyBorder="1"/>
    <xf numFmtId="169" fontId="12" fillId="21" borderId="43" xfId="0" applyNumberFormat="1" applyFont="1" applyFill="1" applyBorder="1"/>
    <xf numFmtId="169" fontId="12" fillId="21" borderId="13" xfId="0" applyNumberFormat="1" applyFont="1" applyFill="1" applyBorder="1"/>
    <xf numFmtId="43" fontId="0" fillId="25" borderId="15" xfId="1" applyFont="1" applyFill="1" applyBorder="1"/>
    <xf numFmtId="43" fontId="0" fillId="24" borderId="15" xfId="1" applyFont="1" applyFill="1" applyBorder="1"/>
    <xf numFmtId="43" fontId="0" fillId="24" borderId="21" xfId="1" applyFont="1" applyFill="1" applyBorder="1"/>
    <xf numFmtId="169" fontId="12" fillId="16" borderId="14" xfId="0" applyNumberFormat="1" applyFont="1" applyFill="1" applyBorder="1"/>
    <xf numFmtId="10" fontId="12" fillId="16" borderId="21" xfId="0" applyNumberFormat="1" applyFont="1" applyFill="1" applyBorder="1"/>
    <xf numFmtId="44" fontId="14" fillId="21" borderId="20" xfId="0" applyNumberFormat="1" applyFont="1" applyFill="1" applyBorder="1"/>
    <xf numFmtId="43" fontId="0" fillId="23" borderId="14" xfId="1" applyFont="1" applyFill="1" applyBorder="1"/>
    <xf numFmtId="43" fontId="0" fillId="23" borderId="15" xfId="1" applyFont="1" applyFill="1" applyBorder="1"/>
    <xf numFmtId="43" fontId="0" fillId="23" borderId="21" xfId="1" applyFont="1" applyFill="1" applyBorder="1"/>
    <xf numFmtId="44" fontId="14" fillId="33" borderId="32" xfId="0" applyNumberFormat="1" applyFont="1" applyFill="1" applyBorder="1"/>
    <xf numFmtId="44" fontId="14" fillId="21" borderId="31" xfId="0" applyNumberFormat="1" applyFont="1" applyFill="1" applyBorder="1"/>
    <xf numFmtId="44" fontId="14" fillId="33" borderId="33" xfId="0" applyNumberFormat="1" applyFont="1" applyFill="1" applyBorder="1"/>
    <xf numFmtId="0" fontId="7" fillId="3" borderId="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7" fillId="3" borderId="10" xfId="0" applyFont="1" applyFill="1" applyBorder="1" applyAlignment="1">
      <alignment horizontal="left" vertical="center" wrapText="1"/>
    </xf>
    <xf numFmtId="164" fontId="7" fillId="3" borderId="4" xfId="1" applyNumberFormat="1" applyFont="1" applyFill="1" applyBorder="1" applyAlignment="1">
      <alignment horizontal="right" vertical="center" shrinkToFit="1"/>
    </xf>
    <xf numFmtId="164" fontId="7" fillId="3" borderId="5" xfId="1" applyNumberFormat="1" applyFont="1" applyFill="1" applyBorder="1" applyAlignment="1">
      <alignment horizontal="right" vertical="center" shrinkToFit="1"/>
    </xf>
    <xf numFmtId="164" fontId="7" fillId="3" borderId="6" xfId="1" applyNumberFormat="1" applyFont="1" applyFill="1" applyBorder="1" applyAlignment="1">
      <alignment horizontal="right" vertical="center" shrinkToFit="1"/>
    </xf>
    <xf numFmtId="164" fontId="7" fillId="3" borderId="28" xfId="1" applyNumberFormat="1" applyFont="1" applyFill="1" applyBorder="1" applyAlignment="1">
      <alignment horizontal="right" vertical="center" shrinkToFit="1"/>
    </xf>
    <xf numFmtId="164" fontId="7" fillId="3" borderId="27" xfId="1" applyNumberFormat="1" applyFont="1" applyFill="1" applyBorder="1" applyAlignment="1">
      <alignment horizontal="right" vertical="center" shrinkToFit="1"/>
    </xf>
    <xf numFmtId="164" fontId="7" fillId="3" borderId="11" xfId="1" applyNumberFormat="1" applyFont="1" applyFill="1" applyBorder="1" applyAlignment="1">
      <alignment horizontal="right" vertical="center" shrinkToFit="1"/>
    </xf>
    <xf numFmtId="164" fontId="7" fillId="3" borderId="8" xfId="1" applyNumberFormat="1" applyFont="1" applyFill="1" applyBorder="1" applyAlignment="1">
      <alignment horizontal="right" vertical="center" shrinkToFit="1"/>
    </xf>
    <xf numFmtId="164" fontId="7" fillId="3" borderId="9" xfId="1" applyNumberFormat="1" applyFont="1" applyFill="1" applyBorder="1" applyAlignment="1">
      <alignment horizontal="right" vertical="center" shrinkToFit="1"/>
    </xf>
    <xf numFmtId="164" fontId="7" fillId="3" borderId="10" xfId="1" applyNumberFormat="1" applyFont="1" applyFill="1" applyBorder="1" applyAlignment="1">
      <alignment horizontal="right" vertical="center" shrinkToFit="1"/>
    </xf>
    <xf numFmtId="0" fontId="7" fillId="4" borderId="8" xfId="0" applyFont="1" applyFill="1" applyBorder="1" applyAlignment="1">
      <alignment horizontal="left" vertical="center" wrapText="1"/>
    </xf>
    <xf numFmtId="0" fontId="7" fillId="4" borderId="9" xfId="0" applyFont="1" applyFill="1" applyBorder="1" applyAlignment="1">
      <alignment horizontal="left" vertical="center" wrapText="1"/>
    </xf>
    <xf numFmtId="0" fontId="7" fillId="4" borderId="10" xfId="0" applyFont="1" applyFill="1" applyBorder="1" applyAlignment="1">
      <alignment horizontal="left" vertical="center" wrapText="1"/>
    </xf>
    <xf numFmtId="164" fontId="7" fillId="4" borderId="8" xfId="1" applyNumberFormat="1" applyFont="1" applyFill="1" applyBorder="1" applyAlignment="1">
      <alignment horizontal="right" vertical="center" shrinkToFit="1"/>
    </xf>
    <xf numFmtId="164" fontId="7" fillId="4" borderId="9" xfId="1" applyNumberFormat="1" applyFont="1" applyFill="1" applyBorder="1" applyAlignment="1">
      <alignment horizontal="right" vertical="center" shrinkToFit="1"/>
    </xf>
    <xf numFmtId="164" fontId="7" fillId="4" borderId="10" xfId="1" applyNumberFormat="1" applyFont="1" applyFill="1" applyBorder="1" applyAlignment="1">
      <alignment horizontal="right" vertical="center" shrinkToFit="1"/>
    </xf>
    <xf numFmtId="164" fontId="7" fillId="4" borderId="28" xfId="1" applyNumberFormat="1" applyFont="1" applyFill="1" applyBorder="1" applyAlignment="1">
      <alignment horizontal="right" vertical="center" shrinkToFit="1"/>
    </xf>
    <xf numFmtId="0" fontId="7" fillId="5" borderId="8" xfId="0" applyFont="1" applyFill="1" applyBorder="1" applyAlignment="1">
      <alignment horizontal="left" vertical="center" wrapText="1"/>
    </xf>
    <xf numFmtId="0" fontId="7" fillId="5" borderId="9" xfId="0" applyFont="1" applyFill="1" applyBorder="1" applyAlignment="1">
      <alignment horizontal="left" vertical="center" wrapText="1"/>
    </xf>
    <xf numFmtId="0" fontId="7" fillId="5" borderId="10" xfId="0" applyFont="1" applyFill="1" applyBorder="1" applyAlignment="1">
      <alignment horizontal="left" vertical="center" wrapText="1"/>
    </xf>
    <xf numFmtId="164" fontId="7" fillId="5" borderId="8" xfId="1" applyNumberFormat="1" applyFont="1" applyFill="1" applyBorder="1" applyAlignment="1">
      <alignment horizontal="right" vertical="center" shrinkToFit="1"/>
    </xf>
    <xf numFmtId="164" fontId="7" fillId="5" borderId="9" xfId="1" applyNumberFormat="1" applyFont="1" applyFill="1" applyBorder="1" applyAlignment="1">
      <alignment horizontal="right" vertical="center" shrinkToFit="1"/>
    </xf>
    <xf numFmtId="164" fontId="7" fillId="5" borderId="10" xfId="1" applyNumberFormat="1" applyFont="1" applyFill="1" applyBorder="1" applyAlignment="1">
      <alignment horizontal="right" vertical="center" shrinkToFit="1"/>
    </xf>
    <xf numFmtId="164" fontId="7" fillId="5" borderId="28" xfId="1" applyNumberFormat="1" applyFont="1" applyFill="1" applyBorder="1" applyAlignment="1">
      <alignment horizontal="right" vertical="center" shrinkToFit="1"/>
    </xf>
    <xf numFmtId="164" fontId="7" fillId="5" borderId="27" xfId="1" applyNumberFormat="1" applyFont="1" applyFill="1" applyBorder="1" applyAlignment="1">
      <alignment horizontal="right" vertical="center" shrinkToFit="1"/>
    </xf>
    <xf numFmtId="164" fontId="7" fillId="5" borderId="11" xfId="1" applyNumberFormat="1" applyFont="1" applyFill="1" applyBorder="1" applyAlignment="1">
      <alignment horizontal="right" vertical="center" shrinkToFit="1"/>
    </xf>
    <xf numFmtId="0" fontId="7" fillId="6" borderId="8" xfId="0" applyFont="1" applyFill="1" applyBorder="1" applyAlignment="1">
      <alignment horizontal="left" vertical="center" wrapText="1"/>
    </xf>
    <xf numFmtId="0" fontId="7" fillId="6" borderId="9" xfId="0" applyFont="1" applyFill="1" applyBorder="1" applyAlignment="1">
      <alignment horizontal="left" vertical="center" wrapText="1"/>
    </xf>
    <xf numFmtId="0" fontId="7" fillId="6" borderId="10" xfId="0" applyFont="1" applyFill="1" applyBorder="1" applyAlignment="1">
      <alignment horizontal="left" vertical="center" wrapText="1"/>
    </xf>
    <xf numFmtId="164" fontId="7" fillId="6" borderId="8" xfId="1" applyNumberFormat="1" applyFont="1" applyFill="1" applyBorder="1" applyAlignment="1">
      <alignment horizontal="right" vertical="center" shrinkToFit="1"/>
    </xf>
    <xf numFmtId="164" fontId="7" fillId="6" borderId="9" xfId="1" applyNumberFormat="1" applyFont="1" applyFill="1" applyBorder="1" applyAlignment="1">
      <alignment horizontal="right" vertical="center" shrinkToFit="1"/>
    </xf>
    <xf numFmtId="164" fontId="7" fillId="6" borderId="10" xfId="1" applyNumberFormat="1" applyFont="1" applyFill="1" applyBorder="1" applyAlignment="1">
      <alignment horizontal="right" vertical="center" shrinkToFit="1"/>
    </xf>
    <xf numFmtId="164" fontId="7" fillId="6" borderId="28" xfId="1" applyNumberFormat="1" applyFont="1" applyFill="1" applyBorder="1" applyAlignment="1">
      <alignment horizontal="right" vertical="center" shrinkToFit="1"/>
    </xf>
    <xf numFmtId="164" fontId="7" fillId="6" borderId="27" xfId="1" applyNumberFormat="1" applyFont="1" applyFill="1" applyBorder="1" applyAlignment="1">
      <alignment horizontal="right" vertical="center" shrinkToFit="1"/>
    </xf>
    <xf numFmtId="164" fontId="7" fillId="6" borderId="11" xfId="1" applyNumberFormat="1" applyFont="1" applyFill="1" applyBorder="1" applyAlignment="1">
      <alignment horizontal="right" vertical="center" shrinkToFit="1"/>
    </xf>
    <xf numFmtId="164" fontId="7" fillId="6" borderId="37" xfId="1" applyNumberFormat="1" applyFont="1" applyFill="1" applyBorder="1" applyAlignment="1">
      <alignment horizontal="right" vertical="center" shrinkToFit="1"/>
    </xf>
    <xf numFmtId="0" fontId="7" fillId="7" borderId="8" xfId="0" applyFont="1" applyFill="1" applyBorder="1" applyAlignment="1">
      <alignment horizontal="left" vertical="center" wrapText="1"/>
    </xf>
    <xf numFmtId="0" fontId="7" fillId="7" borderId="9" xfId="0" applyFont="1" applyFill="1" applyBorder="1" applyAlignment="1">
      <alignment horizontal="left" vertical="center" wrapText="1"/>
    </xf>
    <xf numFmtId="0" fontId="7" fillId="7" borderId="10" xfId="0" applyFont="1" applyFill="1" applyBorder="1" applyAlignment="1">
      <alignment horizontal="left" vertical="center" wrapText="1"/>
    </xf>
    <xf numFmtId="164" fontId="7" fillId="7" borderId="8" xfId="1" applyNumberFormat="1" applyFont="1" applyFill="1" applyBorder="1" applyAlignment="1">
      <alignment horizontal="right" vertical="center" shrinkToFit="1"/>
    </xf>
    <xf numFmtId="164" fontId="7" fillId="7" borderId="9" xfId="1" applyNumberFormat="1" applyFont="1" applyFill="1" applyBorder="1" applyAlignment="1">
      <alignment horizontal="right" vertical="center" shrinkToFit="1"/>
    </xf>
    <xf numFmtId="164" fontId="7" fillId="7" borderId="37" xfId="1" applyNumberFormat="1" applyFont="1" applyFill="1" applyBorder="1" applyAlignment="1">
      <alignment horizontal="right" vertical="center" shrinkToFit="1"/>
    </xf>
    <xf numFmtId="164" fontId="7" fillId="7" borderId="27" xfId="1" applyNumberFormat="1" applyFont="1" applyFill="1" applyBorder="1" applyAlignment="1">
      <alignment horizontal="right" vertical="center" shrinkToFit="1"/>
    </xf>
    <xf numFmtId="164" fontId="7" fillId="7" borderId="11" xfId="1" applyNumberFormat="1" applyFont="1" applyFill="1" applyBorder="1" applyAlignment="1">
      <alignment horizontal="right" vertical="center" shrinkToFit="1"/>
    </xf>
    <xf numFmtId="0" fontId="7" fillId="8" borderId="8" xfId="0" applyFont="1" applyFill="1" applyBorder="1" applyAlignment="1">
      <alignment horizontal="left" vertical="center" wrapText="1"/>
    </xf>
    <xf numFmtId="0" fontId="7" fillId="8" borderId="9" xfId="0" applyFont="1" applyFill="1" applyBorder="1" applyAlignment="1">
      <alignment horizontal="left" vertical="center" wrapText="1"/>
    </xf>
    <xf numFmtId="0" fontId="7" fillId="8" borderId="10" xfId="0" applyFont="1" applyFill="1" applyBorder="1" applyAlignment="1">
      <alignment horizontal="left" vertical="center" wrapText="1"/>
    </xf>
    <xf numFmtId="164" fontId="7" fillId="8" borderId="8" xfId="1" applyNumberFormat="1" applyFont="1" applyFill="1" applyBorder="1" applyAlignment="1">
      <alignment horizontal="right" vertical="center" shrinkToFit="1"/>
    </xf>
    <xf numFmtId="164" fontId="7" fillId="8" borderId="9" xfId="1" applyNumberFormat="1" applyFont="1" applyFill="1" applyBorder="1" applyAlignment="1">
      <alignment horizontal="right" vertical="center" shrinkToFit="1"/>
    </xf>
    <xf numFmtId="164" fontId="7" fillId="8" borderId="10" xfId="1" applyNumberFormat="1" applyFont="1" applyFill="1" applyBorder="1" applyAlignment="1">
      <alignment horizontal="right" vertical="center" shrinkToFit="1"/>
    </xf>
    <xf numFmtId="164" fontId="7" fillId="8" borderId="28" xfId="1" applyNumberFormat="1" applyFont="1" applyFill="1" applyBorder="1" applyAlignment="1">
      <alignment horizontal="right" vertical="center" shrinkToFit="1"/>
    </xf>
    <xf numFmtId="164" fontId="7" fillId="8" borderId="27" xfId="1" applyNumberFormat="1" applyFont="1" applyFill="1" applyBorder="1" applyAlignment="1">
      <alignment horizontal="right" vertical="center" shrinkToFit="1"/>
    </xf>
    <xf numFmtId="164" fontId="7" fillId="8" borderId="11" xfId="1" applyNumberFormat="1" applyFont="1" applyFill="1" applyBorder="1" applyAlignment="1">
      <alignment horizontal="right" vertical="center" shrinkToFit="1"/>
    </xf>
    <xf numFmtId="0" fontId="7" fillId="9" borderId="8" xfId="0" applyFont="1" applyFill="1" applyBorder="1" applyAlignment="1">
      <alignment horizontal="left" vertical="center" wrapText="1"/>
    </xf>
    <xf numFmtId="0" fontId="7" fillId="9" borderId="9" xfId="0" applyFont="1" applyFill="1" applyBorder="1" applyAlignment="1">
      <alignment horizontal="left" vertical="center" wrapText="1"/>
    </xf>
    <xf numFmtId="0" fontId="7" fillId="9" borderId="10" xfId="0" applyFont="1" applyFill="1" applyBorder="1" applyAlignment="1">
      <alignment horizontal="left" vertical="center" wrapText="1"/>
    </xf>
    <xf numFmtId="164" fontId="7" fillId="9" borderId="8" xfId="1" applyNumberFormat="1" applyFont="1" applyFill="1" applyBorder="1" applyAlignment="1">
      <alignment horizontal="right" vertical="center" shrinkToFit="1"/>
    </xf>
    <xf numFmtId="164" fontId="7" fillId="9" borderId="9" xfId="1" applyNumberFormat="1" applyFont="1" applyFill="1" applyBorder="1" applyAlignment="1">
      <alignment horizontal="right" vertical="center" shrinkToFit="1"/>
    </xf>
    <xf numFmtId="164" fontId="7" fillId="9" borderId="10" xfId="1" applyNumberFormat="1" applyFont="1" applyFill="1" applyBorder="1" applyAlignment="1">
      <alignment horizontal="right" vertical="center" shrinkToFit="1"/>
    </xf>
    <xf numFmtId="164" fontId="7" fillId="9" borderId="28" xfId="1" applyNumberFormat="1" applyFont="1" applyFill="1" applyBorder="1" applyAlignment="1">
      <alignment horizontal="right" vertical="center" shrinkToFit="1"/>
    </xf>
    <xf numFmtId="164" fontId="7" fillId="9" borderId="27" xfId="1" applyNumberFormat="1" applyFont="1" applyFill="1" applyBorder="1" applyAlignment="1">
      <alignment horizontal="right" vertical="center" shrinkToFit="1"/>
    </xf>
    <xf numFmtId="164" fontId="7" fillId="9" borderId="11" xfId="1" applyNumberFormat="1" applyFont="1" applyFill="1" applyBorder="1" applyAlignment="1">
      <alignment horizontal="right" vertical="center" shrinkToFit="1"/>
    </xf>
    <xf numFmtId="0" fontId="7" fillId="0" borderId="8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horizontal="left" vertical="center" wrapText="1"/>
    </xf>
    <xf numFmtId="164" fontId="7" fillId="0" borderId="8" xfId="1" applyNumberFormat="1" applyFont="1" applyFill="1" applyBorder="1" applyAlignment="1">
      <alignment horizontal="right" vertical="center" shrinkToFit="1"/>
    </xf>
    <xf numFmtId="164" fontId="7" fillId="0" borderId="9" xfId="1" applyNumberFormat="1" applyFont="1" applyFill="1" applyBorder="1" applyAlignment="1">
      <alignment horizontal="right" vertical="center" shrinkToFit="1"/>
    </xf>
    <xf numFmtId="164" fontId="7" fillId="0" borderId="10" xfId="1" applyNumberFormat="1" applyFont="1" applyFill="1" applyBorder="1" applyAlignment="1">
      <alignment horizontal="right" vertical="center" shrinkToFit="1"/>
    </xf>
    <xf numFmtId="164" fontId="7" fillId="0" borderId="28" xfId="1" applyNumberFormat="1" applyFont="1" applyFill="1" applyBorder="1" applyAlignment="1">
      <alignment horizontal="right" vertical="center" shrinkToFit="1"/>
    </xf>
    <xf numFmtId="164" fontId="7" fillId="0" borderId="27" xfId="1" applyNumberFormat="1" applyFont="1" applyFill="1" applyBorder="1" applyAlignment="1">
      <alignment horizontal="right" vertical="center" shrinkToFit="1"/>
    </xf>
    <xf numFmtId="164" fontId="7" fillId="0" borderId="11" xfId="1" applyNumberFormat="1" applyFont="1" applyFill="1" applyBorder="1" applyAlignment="1">
      <alignment horizontal="right" vertical="center" shrinkToFit="1"/>
    </xf>
    <xf numFmtId="0" fontId="7" fillId="10" borderId="8" xfId="0" applyFont="1" applyFill="1" applyBorder="1" applyAlignment="1">
      <alignment horizontal="left" vertical="center" wrapText="1"/>
    </xf>
    <xf numFmtId="0" fontId="7" fillId="10" borderId="9" xfId="0" applyFont="1" applyFill="1" applyBorder="1" applyAlignment="1">
      <alignment horizontal="left" vertical="center" wrapText="1"/>
    </xf>
    <xf numFmtId="0" fontId="7" fillId="10" borderId="10" xfId="0" applyFont="1" applyFill="1" applyBorder="1" applyAlignment="1">
      <alignment horizontal="left" vertical="center" wrapText="1"/>
    </xf>
    <xf numFmtId="164" fontId="7" fillId="10" borderId="8" xfId="1" applyNumberFormat="1" applyFont="1" applyFill="1" applyBorder="1" applyAlignment="1">
      <alignment horizontal="right" vertical="center" shrinkToFit="1"/>
    </xf>
    <xf numFmtId="164" fontId="7" fillId="10" borderId="9" xfId="1" applyNumberFormat="1" applyFont="1" applyFill="1" applyBorder="1" applyAlignment="1">
      <alignment horizontal="right" vertical="center" shrinkToFit="1"/>
    </xf>
    <xf numFmtId="164" fontId="7" fillId="10" borderId="10" xfId="1" applyNumberFormat="1" applyFont="1" applyFill="1" applyBorder="1" applyAlignment="1">
      <alignment horizontal="right" vertical="center" shrinkToFit="1"/>
    </xf>
    <xf numFmtId="164" fontId="7" fillId="10" borderId="28" xfId="1" applyNumberFormat="1" applyFont="1" applyFill="1" applyBorder="1" applyAlignment="1">
      <alignment horizontal="right" vertical="center" shrinkToFit="1"/>
    </xf>
    <xf numFmtId="164" fontId="7" fillId="10" borderId="27" xfId="1" applyNumberFormat="1" applyFont="1" applyFill="1" applyBorder="1" applyAlignment="1">
      <alignment horizontal="right" vertical="center" shrinkToFit="1"/>
    </xf>
    <xf numFmtId="164" fontId="7" fillId="10" borderId="11" xfId="1" applyNumberFormat="1" applyFont="1" applyFill="1" applyBorder="1" applyAlignment="1">
      <alignment horizontal="right" vertical="center" shrinkToFit="1"/>
    </xf>
    <xf numFmtId="164" fontId="7" fillId="10" borderId="19" xfId="1" applyNumberFormat="1" applyFont="1" applyFill="1" applyBorder="1" applyAlignment="1">
      <alignment horizontal="right" vertical="center" shrinkToFit="1"/>
    </xf>
    <xf numFmtId="164" fontId="7" fillId="10" borderId="22" xfId="1" applyNumberFormat="1" applyFont="1" applyFill="1" applyBorder="1" applyAlignment="1">
      <alignment horizontal="right" vertical="center" shrinkToFit="1"/>
    </xf>
    <xf numFmtId="164" fontId="7" fillId="10" borderId="23" xfId="1" applyNumberFormat="1" applyFont="1" applyFill="1" applyBorder="1" applyAlignment="1">
      <alignment horizontal="right" vertical="center" shrinkToFit="1"/>
    </xf>
    <xf numFmtId="44" fontId="11" fillId="20" borderId="43" xfId="1" applyNumberFormat="1" applyFont="1" applyFill="1" applyBorder="1"/>
    <xf numFmtId="44" fontId="11" fillId="20" borderId="41" xfId="1" applyNumberFormat="1" applyFont="1" applyFill="1" applyBorder="1"/>
    <xf numFmtId="44" fontId="11" fillId="20" borderId="42" xfId="1" applyNumberFormat="1" applyFont="1" applyFill="1" applyBorder="1"/>
    <xf numFmtId="0" fontId="19" fillId="0" borderId="0" xfId="0" applyFont="1" applyFill="1"/>
    <xf numFmtId="44" fontId="10" fillId="21" borderId="13" xfId="0" applyNumberFormat="1" applyFont="1" applyFill="1" applyBorder="1"/>
    <xf numFmtId="44" fontId="10" fillId="21" borderId="14" xfId="0" applyNumberFormat="1" applyFont="1" applyFill="1" applyBorder="1"/>
    <xf numFmtId="44" fontId="0" fillId="21" borderId="0" xfId="0" applyNumberFormat="1" applyFill="1" applyBorder="1"/>
    <xf numFmtId="44" fontId="0" fillId="21" borderId="15" xfId="0" applyNumberFormat="1" applyFill="1" applyBorder="1"/>
    <xf numFmtId="44" fontId="0" fillId="21" borderId="20" xfId="0" applyNumberFormat="1" applyFill="1" applyBorder="1"/>
    <xf numFmtId="44" fontId="0" fillId="21" borderId="21" xfId="0" applyNumberFormat="1" applyFill="1" applyBorder="1"/>
    <xf numFmtId="44" fontId="0" fillId="21" borderId="13" xfId="0" applyNumberFormat="1" applyFill="1" applyBorder="1"/>
    <xf numFmtId="44" fontId="0" fillId="21" borderId="14" xfId="0" applyNumberFormat="1" applyFill="1" applyBorder="1"/>
    <xf numFmtId="0" fontId="10" fillId="21" borderId="38" xfId="0" applyFont="1" applyFill="1" applyBorder="1"/>
    <xf numFmtId="0" fontId="10" fillId="21" borderId="44" xfId="0" applyFont="1" applyFill="1" applyBorder="1"/>
    <xf numFmtId="44" fontId="9" fillId="21" borderId="38" xfId="0" applyNumberFormat="1" applyFont="1" applyFill="1" applyBorder="1"/>
    <xf numFmtId="0" fontId="10" fillId="21" borderId="39" xfId="0" applyFont="1" applyFill="1" applyBorder="1"/>
    <xf numFmtId="44" fontId="12" fillId="32" borderId="20" xfId="0" applyNumberFormat="1" applyFont="1" applyFill="1" applyBorder="1"/>
    <xf numFmtId="44" fontId="12" fillId="32" borderId="21" xfId="0" applyNumberFormat="1" applyFont="1" applyFill="1" applyBorder="1"/>
    <xf numFmtId="44" fontId="31" fillId="32" borderId="41" xfId="0" applyNumberFormat="1" applyFont="1" applyFill="1" applyBorder="1"/>
    <xf numFmtId="44" fontId="31" fillId="32" borderId="0" xfId="0" applyNumberFormat="1" applyFont="1" applyFill="1" applyBorder="1"/>
    <xf numFmtId="44" fontId="32" fillId="32" borderId="0" xfId="0" applyNumberFormat="1" applyFont="1" applyFill="1" applyBorder="1"/>
    <xf numFmtId="44" fontId="32" fillId="32" borderId="15" xfId="0" applyNumberFormat="1" applyFont="1" applyFill="1" applyBorder="1"/>
    <xf numFmtId="44" fontId="33" fillId="32" borderId="0" xfId="0" applyNumberFormat="1" applyFont="1" applyFill="1" applyBorder="1"/>
    <xf numFmtId="44" fontId="33" fillId="32" borderId="15" xfId="0" applyNumberFormat="1" applyFont="1" applyFill="1" applyBorder="1"/>
    <xf numFmtId="44" fontId="34" fillId="32" borderId="41" xfId="0" applyNumberFormat="1" applyFont="1" applyFill="1" applyBorder="1"/>
    <xf numFmtId="44" fontId="34" fillId="32" borderId="0" xfId="0" applyNumberFormat="1" applyFont="1" applyFill="1" applyBorder="1"/>
    <xf numFmtId="44" fontId="34" fillId="32" borderId="15" xfId="0" applyNumberFormat="1" applyFont="1" applyFill="1" applyBorder="1"/>
    <xf numFmtId="44" fontId="14" fillId="32" borderId="20" xfId="0" applyNumberFormat="1" applyFont="1" applyFill="1" applyBorder="1"/>
    <xf numFmtId="44" fontId="14" fillId="32" borderId="42" xfId="0" applyNumberFormat="1" applyFont="1" applyFill="1" applyBorder="1"/>
    <xf numFmtId="44" fontId="16" fillId="32" borderId="42" xfId="0" applyNumberFormat="1" applyFont="1" applyFill="1" applyBorder="1"/>
    <xf numFmtId="44" fontId="16" fillId="32" borderId="20" xfId="0" applyNumberFormat="1" applyFont="1" applyFill="1" applyBorder="1"/>
    <xf numFmtId="44" fontId="16" fillId="32" borderId="21" xfId="0" applyNumberFormat="1" applyFont="1" applyFill="1" applyBorder="1"/>
    <xf numFmtId="164" fontId="3" fillId="0" borderId="0" xfId="1" applyNumberFormat="1" applyFont="1" applyFill="1" applyBorder="1" applyAlignment="1">
      <alignment horizontal="center" vertical="center" shrinkToFit="1"/>
    </xf>
    <xf numFmtId="0" fontId="10" fillId="0" borderId="31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21" fillId="0" borderId="48" xfId="0" applyFont="1" applyBorder="1" applyAlignment="1">
      <alignment horizontal="center"/>
    </xf>
    <xf numFmtId="0" fontId="21" fillId="0" borderId="47" xfId="0" applyFont="1" applyBorder="1" applyAlignment="1">
      <alignment horizontal="center"/>
    </xf>
    <xf numFmtId="0" fontId="21" fillId="0" borderId="46" xfId="0" applyFont="1" applyBorder="1" applyAlignment="1">
      <alignment horizontal="center"/>
    </xf>
    <xf numFmtId="44" fontId="12" fillId="0" borderId="0" xfId="0" applyNumberFormat="1" applyFont="1"/>
    <xf numFmtId="44" fontId="35" fillId="0" borderId="0" xfId="0" applyNumberFormat="1" applyFont="1"/>
    <xf numFmtId="43" fontId="0" fillId="16" borderId="43" xfId="1" applyFont="1" applyFill="1" applyBorder="1"/>
    <xf numFmtId="43" fontId="0" fillId="16" borderId="13" xfId="1" applyFont="1" applyFill="1" applyBorder="1"/>
    <xf numFmtId="43" fontId="0" fillId="16" borderId="14" xfId="1" applyFont="1" applyFill="1" applyBorder="1"/>
    <xf numFmtId="0" fontId="18" fillId="16" borderId="0" xfId="0" applyFont="1" applyFill="1"/>
    <xf numFmtId="0" fontId="0" fillId="16" borderId="15" xfId="0" applyFill="1" applyBorder="1"/>
    <xf numFmtId="43" fontId="0" fillId="16" borderId="41" xfId="1" applyFont="1" applyFill="1" applyBorder="1"/>
    <xf numFmtId="43" fontId="0" fillId="16" borderId="0" xfId="1" applyFont="1" applyFill="1" applyBorder="1"/>
    <xf numFmtId="43" fontId="0" fillId="16" borderId="15" xfId="1" applyFont="1" applyFill="1" applyBorder="1"/>
    <xf numFmtId="44" fontId="0" fillId="16" borderId="43" xfId="1" applyNumberFormat="1" applyFont="1" applyFill="1" applyBorder="1"/>
    <xf numFmtId="44" fontId="0" fillId="16" borderId="13" xfId="1" applyNumberFormat="1" applyFont="1" applyFill="1" applyBorder="1"/>
    <xf numFmtId="44" fontId="0" fillId="16" borderId="41" xfId="1" applyNumberFormat="1" applyFont="1" applyFill="1" applyBorder="1"/>
    <xf numFmtId="44" fontId="0" fillId="16" borderId="0" xfId="1" applyNumberFormat="1" applyFont="1" applyFill="1" applyBorder="1"/>
    <xf numFmtId="44" fontId="0" fillId="16" borderId="14" xfId="1" applyNumberFormat="1" applyFont="1" applyFill="1" applyBorder="1"/>
    <xf numFmtId="44" fontId="0" fillId="16" borderId="15" xfId="1" applyNumberFormat="1" applyFont="1" applyFill="1" applyBorder="1"/>
    <xf numFmtId="0" fontId="0" fillId="16" borderId="13" xfId="0" applyFill="1" applyBorder="1"/>
    <xf numFmtId="0" fontId="0" fillId="16" borderId="14" xfId="0" applyFill="1" applyBorder="1"/>
    <xf numFmtId="164" fontId="4" fillId="11" borderId="42" xfId="1" applyNumberFormat="1" applyFont="1" applyFill="1" applyBorder="1" applyAlignment="1">
      <alignment shrinkToFit="1"/>
    </xf>
    <xf numFmtId="164" fontId="4" fillId="11" borderId="20" xfId="1" applyNumberFormat="1" applyFont="1" applyFill="1" applyBorder="1" applyAlignment="1">
      <alignment shrinkToFit="1"/>
    </xf>
    <xf numFmtId="164" fontId="4" fillId="11" borderId="21" xfId="1" applyNumberFormat="1" applyFont="1" applyFill="1" applyBorder="1" applyAlignment="1">
      <alignment shrinkToFit="1"/>
    </xf>
    <xf numFmtId="164" fontId="4" fillId="11" borderId="49" xfId="1" applyNumberFormat="1" applyFont="1" applyFill="1" applyBorder="1" applyAlignment="1">
      <alignment shrinkToFit="1"/>
    </xf>
    <xf numFmtId="164" fontId="7" fillId="11" borderId="43" xfId="1" applyNumberFormat="1" applyFont="1" applyFill="1" applyBorder="1" applyAlignment="1">
      <alignment shrinkToFit="1"/>
    </xf>
    <xf numFmtId="164" fontId="7" fillId="11" borderId="13" xfId="1" applyNumberFormat="1" applyFont="1" applyFill="1" applyBorder="1" applyAlignment="1">
      <alignment shrinkToFit="1"/>
    </xf>
    <xf numFmtId="164" fontId="7" fillId="11" borderId="14" xfId="1" applyNumberFormat="1" applyFont="1" applyFill="1" applyBorder="1" applyAlignment="1">
      <alignment shrinkToFit="1"/>
    </xf>
    <xf numFmtId="164" fontId="7" fillId="11" borderId="41" xfId="1" applyNumberFormat="1" applyFont="1" applyFill="1" applyBorder="1" applyAlignment="1">
      <alignment shrinkToFit="1"/>
    </xf>
    <xf numFmtId="164" fontId="7" fillId="11" borderId="0" xfId="1" applyNumberFormat="1" applyFont="1" applyFill="1" applyBorder="1" applyAlignment="1">
      <alignment shrinkToFit="1"/>
    </xf>
    <xf numFmtId="164" fontId="7" fillId="11" borderId="15" xfId="1" applyNumberFormat="1" applyFont="1" applyFill="1" applyBorder="1" applyAlignment="1">
      <alignment shrinkToFit="1"/>
    </xf>
    <xf numFmtId="164" fontId="7" fillId="11" borderId="42" xfId="1" applyNumberFormat="1" applyFont="1" applyFill="1" applyBorder="1" applyAlignment="1">
      <alignment shrinkToFit="1"/>
    </xf>
    <xf numFmtId="164" fontId="7" fillId="11" borderId="20" xfId="1" applyNumberFormat="1" applyFont="1" applyFill="1" applyBorder="1" applyAlignment="1">
      <alignment shrinkToFit="1"/>
    </xf>
    <xf numFmtId="164" fontId="7" fillId="11" borderId="21" xfId="1" applyNumberFormat="1" applyFont="1" applyFill="1" applyBorder="1" applyAlignment="1">
      <alignment shrinkToFit="1"/>
    </xf>
    <xf numFmtId="0" fontId="0" fillId="0" borderId="0" xfId="0" applyAlignment="1">
      <alignment horizontal="center"/>
    </xf>
    <xf numFmtId="166" fontId="36" fillId="0" borderId="0" xfId="1" applyNumberFormat="1" applyFont="1" applyFill="1" applyBorder="1"/>
    <xf numFmtId="166" fontId="36" fillId="16" borderId="0" xfId="1" applyNumberFormat="1" applyFont="1" applyFill="1" applyBorder="1"/>
    <xf numFmtId="166" fontId="0" fillId="0" borderId="0" xfId="0" applyNumberFormat="1"/>
    <xf numFmtId="168" fontId="0" fillId="0" borderId="0" xfId="0" applyNumberFormat="1"/>
    <xf numFmtId="44" fontId="29" fillId="21" borderId="20" xfId="0" applyNumberFormat="1" applyFont="1" applyFill="1" applyBorder="1"/>
    <xf numFmtId="44" fontId="29" fillId="21" borderId="0" xfId="0" applyNumberFormat="1" applyFont="1" applyFill="1" applyBorder="1"/>
    <xf numFmtId="0" fontId="16" fillId="22" borderId="31" xfId="0" applyFont="1" applyFill="1" applyBorder="1"/>
    <xf numFmtId="0" fontId="16" fillId="14" borderId="43" xfId="0" applyFont="1" applyFill="1" applyBorder="1"/>
    <xf numFmtId="0" fontId="16" fillId="14" borderId="41" xfId="0" applyFont="1" applyFill="1" applyBorder="1"/>
    <xf numFmtId="0" fontId="16" fillId="14" borderId="42" xfId="0" applyFont="1" applyFill="1" applyBorder="1"/>
    <xf numFmtId="0" fontId="24" fillId="20" borderId="43" xfId="0" applyFont="1" applyFill="1" applyBorder="1"/>
    <xf numFmtId="0" fontId="15" fillId="20" borderId="41" xfId="0" applyFont="1" applyFill="1" applyBorder="1"/>
    <xf numFmtId="0" fontId="25" fillId="20" borderId="42" xfId="0" applyFont="1" applyFill="1" applyBorder="1"/>
    <xf numFmtId="44" fontId="29" fillId="21" borderId="21" xfId="0" applyNumberFormat="1" applyFont="1" applyFill="1" applyBorder="1"/>
    <xf numFmtId="0" fontId="12" fillId="21" borderId="41" xfId="0" applyFont="1" applyFill="1" applyBorder="1"/>
    <xf numFmtId="44" fontId="16" fillId="21" borderId="41" xfId="0" applyNumberFormat="1" applyFont="1" applyFill="1" applyBorder="1"/>
    <xf numFmtId="44" fontId="24" fillId="20" borderId="43" xfId="0" applyNumberFormat="1" applyFont="1" applyFill="1" applyBorder="1"/>
    <xf numFmtId="44" fontId="15" fillId="20" borderId="41" xfId="0" applyNumberFormat="1" applyFont="1" applyFill="1" applyBorder="1"/>
    <xf numFmtId="44" fontId="25" fillId="20" borderId="42" xfId="0" applyNumberFormat="1" applyFont="1" applyFill="1" applyBorder="1"/>
    <xf numFmtId="44" fontId="14" fillId="32" borderId="0" xfId="0" applyNumberFormat="1" applyFont="1" applyFill="1" applyBorder="1"/>
    <xf numFmtId="44" fontId="29" fillId="32" borderId="13" xfId="0" applyNumberFormat="1" applyFont="1" applyFill="1" applyBorder="1"/>
    <xf numFmtId="44" fontId="29" fillId="32" borderId="14" xfId="0" applyNumberFormat="1" applyFont="1" applyFill="1" applyBorder="1"/>
    <xf numFmtId="44" fontId="29" fillId="21" borderId="42" xfId="0" applyNumberFormat="1" applyFont="1" applyFill="1" applyBorder="1"/>
    <xf numFmtId="44" fontId="14" fillId="33" borderId="31" xfId="0" applyNumberFormat="1" applyFont="1" applyFill="1" applyBorder="1"/>
    <xf numFmtId="0" fontId="35" fillId="0" borderId="0" xfId="0" applyFont="1"/>
    <xf numFmtId="44" fontId="29" fillId="21" borderId="41" xfId="0" applyNumberFormat="1" applyFont="1" applyFill="1" applyBorder="1"/>
    <xf numFmtId="44" fontId="12" fillId="14" borderId="43" xfId="0" applyNumberFormat="1" applyFont="1" applyFill="1" applyBorder="1"/>
    <xf numFmtId="44" fontId="12" fillId="14" borderId="13" xfId="0" applyNumberFormat="1" applyFont="1" applyFill="1" applyBorder="1"/>
    <xf numFmtId="44" fontId="12" fillId="14" borderId="14" xfId="0" applyNumberFormat="1" applyFont="1" applyFill="1" applyBorder="1"/>
    <xf numFmtId="44" fontId="14" fillId="32" borderId="41" xfId="0" applyNumberFormat="1" applyFont="1" applyFill="1" applyBorder="1"/>
    <xf numFmtId="44" fontId="12" fillId="34" borderId="0" xfId="0" applyNumberFormat="1" applyFont="1" applyFill="1"/>
    <xf numFmtId="0" fontId="38" fillId="0" borderId="3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9" fontId="0" fillId="0" borderId="0" xfId="0" applyNumberFormat="1"/>
    <xf numFmtId="43" fontId="4" fillId="16" borderId="25" xfId="1" applyNumberFormat="1" applyFont="1" applyFill="1" applyBorder="1" applyAlignment="1">
      <alignment shrinkToFit="1"/>
    </xf>
    <xf numFmtId="43" fontId="5" fillId="16" borderId="25" xfId="1" applyNumberFormat="1" applyFont="1" applyFill="1" applyBorder="1" applyAlignment="1">
      <alignment shrinkToFit="1"/>
    </xf>
    <xf numFmtId="43" fontId="0" fillId="16" borderId="25" xfId="0" applyNumberFormat="1" applyFill="1" applyBorder="1"/>
    <xf numFmtId="43" fontId="10" fillId="16" borderId="25" xfId="0" applyNumberFormat="1" applyFont="1" applyFill="1" applyBorder="1"/>
    <xf numFmtId="43" fontId="7" fillId="16" borderId="25" xfId="0" applyNumberFormat="1" applyFont="1" applyFill="1" applyBorder="1" applyAlignment="1">
      <alignment horizontal="right" vertical="center"/>
    </xf>
    <xf numFmtId="43" fontId="37" fillId="16" borderId="25" xfId="0" applyNumberFormat="1" applyFont="1" applyFill="1" applyBorder="1" applyAlignment="1">
      <alignment horizontal="right" vertical="center"/>
    </xf>
    <xf numFmtId="44" fontId="29" fillId="21" borderId="43" xfId="0" applyNumberFormat="1" applyFont="1" applyFill="1" applyBorder="1"/>
  </cellXfs>
  <cellStyles count="4">
    <cellStyle name="Comma" xfId="1" builtinId="3"/>
    <cellStyle name="Currency" xfId="2" builtinId="4"/>
    <cellStyle name="Currency 2" xfId="3" xr:uid="{4D21F8F7-845E-48E4-87E1-5CF208AAB5DC}"/>
    <cellStyle name="Normal" xfId="0" builtinId="0"/>
  </cellStyles>
  <dxfs count="48"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  <dxf>
      <font>
        <strike val="0"/>
        <condense val="0"/>
        <extend val="0"/>
        <color rgb="FFFFFFFF"/>
      </font>
    </dxf>
  </dxfs>
  <tableStyles count="0" defaultTableStyle="TableStyleMedium2" defaultPivotStyle="PivotStyleLight16"/>
  <colors>
    <mruColors>
      <color rgb="FFFFDE75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chemeClr val="tx1"/>
                </a:solidFill>
                <a:effectLst/>
              </a:rPr>
              <a:t>30 Year Rolling Asset  Management Plan (2020-2050)</a:t>
            </a:r>
            <a:endParaRPr lang="en-GB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'Estimated Expenditure'!$A$82</c:f>
              <c:strCache>
                <c:ptCount val="1"/>
                <c:pt idx="0">
                  <c:v>Pavement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'Estimated Expenditure'!$B$80:$AE$80</c:f>
              <c:strCache>
                <c:ptCount val="30"/>
                <c:pt idx="0">
                  <c:v>2020-2021</c:v>
                </c:pt>
                <c:pt idx="1">
                  <c:v>2021-2022</c:v>
                </c:pt>
                <c:pt idx="2">
                  <c:v>2022-2023</c:v>
                </c:pt>
                <c:pt idx="3">
                  <c:v>2023-2024</c:v>
                </c:pt>
                <c:pt idx="4">
                  <c:v>2024-2025</c:v>
                </c:pt>
                <c:pt idx="5">
                  <c:v>2025-2026</c:v>
                </c:pt>
                <c:pt idx="6">
                  <c:v>2026-2027</c:v>
                </c:pt>
                <c:pt idx="7">
                  <c:v>2027-2028</c:v>
                </c:pt>
                <c:pt idx="8">
                  <c:v>2028-2029</c:v>
                </c:pt>
                <c:pt idx="9">
                  <c:v>2029-2030</c:v>
                </c:pt>
                <c:pt idx="10">
                  <c:v>2030-2031</c:v>
                </c:pt>
                <c:pt idx="11">
                  <c:v>2031-2032</c:v>
                </c:pt>
                <c:pt idx="12">
                  <c:v>2032-2033</c:v>
                </c:pt>
                <c:pt idx="13">
                  <c:v>2033-2034</c:v>
                </c:pt>
                <c:pt idx="14">
                  <c:v>2034-2035</c:v>
                </c:pt>
                <c:pt idx="15">
                  <c:v>2035-2036</c:v>
                </c:pt>
                <c:pt idx="16">
                  <c:v>2036-2037</c:v>
                </c:pt>
                <c:pt idx="17">
                  <c:v>2037-2038</c:v>
                </c:pt>
                <c:pt idx="18">
                  <c:v>2038-2039</c:v>
                </c:pt>
                <c:pt idx="19">
                  <c:v>2039-2040</c:v>
                </c:pt>
                <c:pt idx="20">
                  <c:v>2040-2041</c:v>
                </c:pt>
                <c:pt idx="21">
                  <c:v>2041-2042</c:v>
                </c:pt>
                <c:pt idx="22">
                  <c:v>2042-2043</c:v>
                </c:pt>
                <c:pt idx="23">
                  <c:v>2043-2044</c:v>
                </c:pt>
                <c:pt idx="24">
                  <c:v>2044-2045</c:v>
                </c:pt>
                <c:pt idx="25">
                  <c:v>2045-2046</c:v>
                </c:pt>
                <c:pt idx="26">
                  <c:v>2046-2047</c:v>
                </c:pt>
                <c:pt idx="27">
                  <c:v>2047-2048</c:v>
                </c:pt>
                <c:pt idx="28">
                  <c:v>2048-2049</c:v>
                </c:pt>
                <c:pt idx="29">
                  <c:v>2049-2050</c:v>
                </c:pt>
              </c:strCache>
            </c:strRef>
          </c:cat>
          <c:val>
            <c:numRef>
              <c:f>'Estimated Expenditure'!$B$82:$AE$82</c:f>
              <c:numCache>
                <c:formatCode>_("£"* #,##0.00_);_("£"* \(#,##0.00\);_("£"* "-"??_);_(@_)</c:formatCode>
                <c:ptCount val="30"/>
                <c:pt idx="0">
                  <c:v>28.918894999999999</c:v>
                </c:pt>
                <c:pt idx="1">
                  <c:v>22.798638</c:v>
                </c:pt>
                <c:pt idx="2">
                  <c:v>23.220200999999999</c:v>
                </c:pt>
                <c:pt idx="3">
                  <c:v>24.412120000000002</c:v>
                </c:pt>
                <c:pt idx="4">
                  <c:v>28.760155999999998</c:v>
                </c:pt>
                <c:pt idx="5">
                  <c:v>13.628170942266394</c:v>
                </c:pt>
                <c:pt idx="6">
                  <c:v>25.617629040530481</c:v>
                </c:pt>
                <c:pt idx="7">
                  <c:v>20.102627598476861</c:v>
                </c:pt>
                <c:pt idx="8">
                  <c:v>48.289835714242805</c:v>
                </c:pt>
                <c:pt idx="9">
                  <c:v>21.777387322967893</c:v>
                </c:pt>
                <c:pt idx="10">
                  <c:v>22.999914594772221</c:v>
                </c:pt>
                <c:pt idx="11">
                  <c:v>13.976331297026992</c:v>
                </c:pt>
                <c:pt idx="12">
                  <c:v>19.707995651017864</c:v>
                </c:pt>
                <c:pt idx="13">
                  <c:v>25.002548984533885</c:v>
                </c:pt>
                <c:pt idx="14">
                  <c:v>20.531664556411993</c:v>
                </c:pt>
                <c:pt idx="15">
                  <c:v>9.8619916638986584</c:v>
                </c:pt>
                <c:pt idx="16">
                  <c:v>14.171142402731947</c:v>
                </c:pt>
                <c:pt idx="17">
                  <c:v>11.089212293309849</c:v>
                </c:pt>
                <c:pt idx="18">
                  <c:v>16.843499770880193</c:v>
                </c:pt>
                <c:pt idx="19">
                  <c:v>7.6876302005491413</c:v>
                </c:pt>
                <c:pt idx="20">
                  <c:v>37.633249398826479</c:v>
                </c:pt>
                <c:pt idx="21">
                  <c:v>27.409524361533535</c:v>
                </c:pt>
                <c:pt idx="22">
                  <c:v>27.797432509865295</c:v>
                </c:pt>
                <c:pt idx="23">
                  <c:v>24.635175134509861</c:v>
                </c:pt>
                <c:pt idx="24">
                  <c:v>22.036333823411869</c:v>
                </c:pt>
                <c:pt idx="25">
                  <c:v>21.195120845337559</c:v>
                </c:pt>
                <c:pt idx="26">
                  <c:v>12.32102498759728</c:v>
                </c:pt>
                <c:pt idx="27">
                  <c:v>5.2648408032016967</c:v>
                </c:pt>
                <c:pt idx="28">
                  <c:v>5.116875060987832</c:v>
                </c:pt>
                <c:pt idx="29">
                  <c:v>20.378841880585714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8-4BFF-8200-3181EDA14A48}"/>
            </c:ext>
          </c:extLst>
        </c:ser>
        <c:ser>
          <c:idx val="1"/>
          <c:order val="1"/>
          <c:tx>
            <c:strRef>
              <c:f>'Estimated Expenditure'!$A$83</c:f>
              <c:strCache>
                <c:ptCount val="1"/>
                <c:pt idx="0">
                  <c:v>Structures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'Estimated Expenditure'!$B$80:$AE$80</c:f>
              <c:strCache>
                <c:ptCount val="30"/>
                <c:pt idx="0">
                  <c:v>2020-2021</c:v>
                </c:pt>
                <c:pt idx="1">
                  <c:v>2021-2022</c:v>
                </c:pt>
                <c:pt idx="2">
                  <c:v>2022-2023</c:v>
                </c:pt>
                <c:pt idx="3">
                  <c:v>2023-2024</c:v>
                </c:pt>
                <c:pt idx="4">
                  <c:v>2024-2025</c:v>
                </c:pt>
                <c:pt idx="5">
                  <c:v>2025-2026</c:v>
                </c:pt>
                <c:pt idx="6">
                  <c:v>2026-2027</c:v>
                </c:pt>
                <c:pt idx="7">
                  <c:v>2027-2028</c:v>
                </c:pt>
                <c:pt idx="8">
                  <c:v>2028-2029</c:v>
                </c:pt>
                <c:pt idx="9">
                  <c:v>2029-2030</c:v>
                </c:pt>
                <c:pt idx="10">
                  <c:v>2030-2031</c:v>
                </c:pt>
                <c:pt idx="11">
                  <c:v>2031-2032</c:v>
                </c:pt>
                <c:pt idx="12">
                  <c:v>2032-2033</c:v>
                </c:pt>
                <c:pt idx="13">
                  <c:v>2033-2034</c:v>
                </c:pt>
                <c:pt idx="14">
                  <c:v>2034-2035</c:v>
                </c:pt>
                <c:pt idx="15">
                  <c:v>2035-2036</c:v>
                </c:pt>
                <c:pt idx="16">
                  <c:v>2036-2037</c:v>
                </c:pt>
                <c:pt idx="17">
                  <c:v>2037-2038</c:v>
                </c:pt>
                <c:pt idx="18">
                  <c:v>2038-2039</c:v>
                </c:pt>
                <c:pt idx="19">
                  <c:v>2039-2040</c:v>
                </c:pt>
                <c:pt idx="20">
                  <c:v>2040-2041</c:v>
                </c:pt>
                <c:pt idx="21">
                  <c:v>2041-2042</c:v>
                </c:pt>
                <c:pt idx="22">
                  <c:v>2042-2043</c:v>
                </c:pt>
                <c:pt idx="23">
                  <c:v>2043-2044</c:v>
                </c:pt>
                <c:pt idx="24">
                  <c:v>2044-2045</c:v>
                </c:pt>
                <c:pt idx="25">
                  <c:v>2045-2046</c:v>
                </c:pt>
                <c:pt idx="26">
                  <c:v>2046-2047</c:v>
                </c:pt>
                <c:pt idx="27">
                  <c:v>2047-2048</c:v>
                </c:pt>
                <c:pt idx="28">
                  <c:v>2048-2049</c:v>
                </c:pt>
                <c:pt idx="29">
                  <c:v>2049-2050</c:v>
                </c:pt>
              </c:strCache>
            </c:strRef>
          </c:cat>
          <c:val>
            <c:numRef>
              <c:f>'Estimated Expenditure'!$B$83:$AE$83</c:f>
              <c:numCache>
                <c:formatCode>_("£"* #,##0.00_);_("£"* \(#,##0.00\);_("£"* "-"??_);_(@_)</c:formatCode>
                <c:ptCount val="30"/>
                <c:pt idx="0">
                  <c:v>38.508848929999999</c:v>
                </c:pt>
                <c:pt idx="1">
                  <c:v>27.203706780000001</c:v>
                </c:pt>
                <c:pt idx="2">
                  <c:v>19.425628789999998</c:v>
                </c:pt>
                <c:pt idx="3">
                  <c:v>13.9068319</c:v>
                </c:pt>
                <c:pt idx="4">
                  <c:v>19.240153840000001</c:v>
                </c:pt>
                <c:pt idx="5">
                  <c:v>16.113331340512854</c:v>
                </c:pt>
                <c:pt idx="6">
                  <c:v>17.493117027980858</c:v>
                </c:pt>
                <c:pt idx="7">
                  <c:v>24.503969585995858</c:v>
                </c:pt>
                <c:pt idx="8">
                  <c:v>19.288640730843856</c:v>
                </c:pt>
                <c:pt idx="9">
                  <c:v>11.951717958580858</c:v>
                </c:pt>
                <c:pt idx="10">
                  <c:v>14.207356610000856</c:v>
                </c:pt>
                <c:pt idx="11">
                  <c:v>18.115421964170853</c:v>
                </c:pt>
                <c:pt idx="12">
                  <c:v>17.214024457220852</c:v>
                </c:pt>
                <c:pt idx="13">
                  <c:v>33.106229055498858</c:v>
                </c:pt>
                <c:pt idx="14">
                  <c:v>24.17923159263086</c:v>
                </c:pt>
                <c:pt idx="15">
                  <c:v>18.043587408980855</c:v>
                </c:pt>
                <c:pt idx="16">
                  <c:v>17.08910884706086</c:v>
                </c:pt>
                <c:pt idx="17">
                  <c:v>18.230006394245851</c:v>
                </c:pt>
                <c:pt idx="18">
                  <c:v>24.796601456400857</c:v>
                </c:pt>
                <c:pt idx="19">
                  <c:v>17.397638918219858</c:v>
                </c:pt>
                <c:pt idx="20">
                  <c:v>6.5756713265075346</c:v>
                </c:pt>
                <c:pt idx="21">
                  <c:v>7.5475737834492138</c:v>
                </c:pt>
                <c:pt idx="22">
                  <c:v>13.089053452559444</c:v>
                </c:pt>
                <c:pt idx="23">
                  <c:v>21.333220805219526</c:v>
                </c:pt>
                <c:pt idx="24">
                  <c:v>18.386996812056765</c:v>
                </c:pt>
                <c:pt idx="25">
                  <c:v>24.037139909258396</c:v>
                </c:pt>
                <c:pt idx="26">
                  <c:v>23.703681309539281</c:v>
                </c:pt>
                <c:pt idx="27">
                  <c:v>13.152532837988486</c:v>
                </c:pt>
                <c:pt idx="28">
                  <c:v>19.608914167594811</c:v>
                </c:pt>
                <c:pt idx="29">
                  <c:v>16.172771711574825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8-4BFF-8200-3181EDA14A48}"/>
            </c:ext>
          </c:extLst>
        </c:ser>
        <c:ser>
          <c:idx val="2"/>
          <c:order val="2"/>
          <c:tx>
            <c:strRef>
              <c:f>'Estimated Expenditure'!$A$84</c:f>
              <c:strCache>
                <c:ptCount val="1"/>
                <c:pt idx="0">
                  <c:v>Dartford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'Estimated Expenditure'!$B$80:$AE$80</c:f>
              <c:strCache>
                <c:ptCount val="30"/>
                <c:pt idx="0">
                  <c:v>2020-2021</c:v>
                </c:pt>
                <c:pt idx="1">
                  <c:v>2021-2022</c:v>
                </c:pt>
                <c:pt idx="2">
                  <c:v>2022-2023</c:v>
                </c:pt>
                <c:pt idx="3">
                  <c:v>2023-2024</c:v>
                </c:pt>
                <c:pt idx="4">
                  <c:v>2024-2025</c:v>
                </c:pt>
                <c:pt idx="5">
                  <c:v>2025-2026</c:v>
                </c:pt>
                <c:pt idx="6">
                  <c:v>2026-2027</c:v>
                </c:pt>
                <c:pt idx="7">
                  <c:v>2027-2028</c:v>
                </c:pt>
                <c:pt idx="8">
                  <c:v>2028-2029</c:v>
                </c:pt>
                <c:pt idx="9">
                  <c:v>2029-2030</c:v>
                </c:pt>
                <c:pt idx="10">
                  <c:v>2030-2031</c:v>
                </c:pt>
                <c:pt idx="11">
                  <c:v>2031-2032</c:v>
                </c:pt>
                <c:pt idx="12">
                  <c:v>2032-2033</c:v>
                </c:pt>
                <c:pt idx="13">
                  <c:v>2033-2034</c:v>
                </c:pt>
                <c:pt idx="14">
                  <c:v>2034-2035</c:v>
                </c:pt>
                <c:pt idx="15">
                  <c:v>2035-2036</c:v>
                </c:pt>
                <c:pt idx="16">
                  <c:v>2036-2037</c:v>
                </c:pt>
                <c:pt idx="17">
                  <c:v>2037-2038</c:v>
                </c:pt>
                <c:pt idx="18">
                  <c:v>2038-2039</c:v>
                </c:pt>
                <c:pt idx="19">
                  <c:v>2039-2040</c:v>
                </c:pt>
                <c:pt idx="20">
                  <c:v>2040-2041</c:v>
                </c:pt>
                <c:pt idx="21">
                  <c:v>2041-2042</c:v>
                </c:pt>
                <c:pt idx="22">
                  <c:v>2042-2043</c:v>
                </c:pt>
                <c:pt idx="23">
                  <c:v>2043-2044</c:v>
                </c:pt>
                <c:pt idx="24">
                  <c:v>2044-2045</c:v>
                </c:pt>
                <c:pt idx="25">
                  <c:v>2045-2046</c:v>
                </c:pt>
                <c:pt idx="26">
                  <c:v>2046-2047</c:v>
                </c:pt>
                <c:pt idx="27">
                  <c:v>2047-2048</c:v>
                </c:pt>
                <c:pt idx="28">
                  <c:v>2048-2049</c:v>
                </c:pt>
                <c:pt idx="29">
                  <c:v>2049-2050</c:v>
                </c:pt>
              </c:strCache>
            </c:strRef>
          </c:cat>
          <c:val>
            <c:numRef>
              <c:f>'Estimated Expenditure'!$B$84:$AE$84</c:f>
              <c:numCache>
                <c:formatCode>_("£"* #,##0.00_);_("£"* \(#,##0.00\);_("£"* "-"??_);_(@_)</c:formatCode>
                <c:ptCount val="30"/>
                <c:pt idx="0">
                  <c:v>4.3127019999999998</c:v>
                </c:pt>
                <c:pt idx="1">
                  <c:v>3.1982050000000002</c:v>
                </c:pt>
                <c:pt idx="2">
                  <c:v>3.3266719999999999</c:v>
                </c:pt>
                <c:pt idx="3">
                  <c:v>3.2544279999999999</c:v>
                </c:pt>
                <c:pt idx="4">
                  <c:v>1.5423439999999999</c:v>
                </c:pt>
                <c:pt idx="5">
                  <c:v>0.65461409682382232</c:v>
                </c:pt>
                <c:pt idx="6">
                  <c:v>2.5645647858544978</c:v>
                </c:pt>
                <c:pt idx="7">
                  <c:v>1.4381673339311247</c:v>
                </c:pt>
                <c:pt idx="8">
                  <c:v>0.58022613127566069</c:v>
                </c:pt>
                <c:pt idx="9">
                  <c:v>0.51575656113392065</c:v>
                </c:pt>
                <c:pt idx="10">
                  <c:v>5.5691790207056995</c:v>
                </c:pt>
                <c:pt idx="11">
                  <c:v>6.5924643380641443</c:v>
                </c:pt>
                <c:pt idx="12">
                  <c:v>0.76867564399767019</c:v>
                </c:pt>
                <c:pt idx="13">
                  <c:v>0.61989971290134682</c:v>
                </c:pt>
                <c:pt idx="14">
                  <c:v>2.4795988516053873</c:v>
                </c:pt>
                <c:pt idx="15">
                  <c:v>1.1356562740352676</c:v>
                </c:pt>
                <c:pt idx="16">
                  <c:v>2.7065267793066097</c:v>
                </c:pt>
                <c:pt idx="17">
                  <c:v>1.0315131222678413</c:v>
                </c:pt>
                <c:pt idx="18">
                  <c:v>0.66949168993345476</c:v>
                </c:pt>
                <c:pt idx="19">
                  <c:v>1.0315131222678413</c:v>
                </c:pt>
                <c:pt idx="20">
                  <c:v>0.52</c:v>
                </c:pt>
                <c:pt idx="21">
                  <c:v>0.63</c:v>
                </c:pt>
                <c:pt idx="22">
                  <c:v>0.5</c:v>
                </c:pt>
                <c:pt idx="23">
                  <c:v>0.34820699999999999</c:v>
                </c:pt>
                <c:pt idx="24">
                  <c:v>0.35</c:v>
                </c:pt>
                <c:pt idx="25">
                  <c:v>0.85</c:v>
                </c:pt>
                <c:pt idx="26">
                  <c:v>0.72</c:v>
                </c:pt>
                <c:pt idx="27">
                  <c:v>0.89283900199999999</c:v>
                </c:pt>
                <c:pt idx="28">
                  <c:v>2.0499999999999998</c:v>
                </c:pt>
                <c:pt idx="29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28-4BFF-8200-3181EDA14A48}"/>
            </c:ext>
          </c:extLst>
        </c:ser>
        <c:ser>
          <c:idx val="3"/>
          <c:order val="3"/>
          <c:tx>
            <c:strRef>
              <c:f>'Estimated Expenditure'!$A$85</c:f>
              <c:strCache>
                <c:ptCount val="1"/>
                <c:pt idx="0">
                  <c:v>Geotechnical, Drainage &amp; CRB</c:v>
                </c:pt>
              </c:strCache>
            </c:strRef>
          </c:tx>
          <c:spPr>
            <a:solidFill>
              <a:srgbClr val="FFDE75"/>
            </a:solidFill>
            <a:ln>
              <a:solidFill>
                <a:schemeClr val="tx1"/>
              </a:solidFill>
            </a:ln>
            <a:effectLst/>
          </c:spPr>
          <c:cat>
            <c:strRef>
              <c:f>'Estimated Expenditure'!$B$80:$AE$80</c:f>
              <c:strCache>
                <c:ptCount val="30"/>
                <c:pt idx="0">
                  <c:v>2020-2021</c:v>
                </c:pt>
                <c:pt idx="1">
                  <c:v>2021-2022</c:v>
                </c:pt>
                <c:pt idx="2">
                  <c:v>2022-2023</c:v>
                </c:pt>
                <c:pt idx="3">
                  <c:v>2023-2024</c:v>
                </c:pt>
                <c:pt idx="4">
                  <c:v>2024-2025</c:v>
                </c:pt>
                <c:pt idx="5">
                  <c:v>2025-2026</c:v>
                </c:pt>
                <c:pt idx="6">
                  <c:v>2026-2027</c:v>
                </c:pt>
                <c:pt idx="7">
                  <c:v>2027-2028</c:v>
                </c:pt>
                <c:pt idx="8">
                  <c:v>2028-2029</c:v>
                </c:pt>
                <c:pt idx="9">
                  <c:v>2029-2030</c:v>
                </c:pt>
                <c:pt idx="10">
                  <c:v>2030-2031</c:v>
                </c:pt>
                <c:pt idx="11">
                  <c:v>2031-2032</c:v>
                </c:pt>
                <c:pt idx="12">
                  <c:v>2032-2033</c:v>
                </c:pt>
                <c:pt idx="13">
                  <c:v>2033-2034</c:v>
                </c:pt>
                <c:pt idx="14">
                  <c:v>2034-2035</c:v>
                </c:pt>
                <c:pt idx="15">
                  <c:v>2035-2036</c:v>
                </c:pt>
                <c:pt idx="16">
                  <c:v>2036-2037</c:v>
                </c:pt>
                <c:pt idx="17">
                  <c:v>2037-2038</c:v>
                </c:pt>
                <c:pt idx="18">
                  <c:v>2038-2039</c:v>
                </c:pt>
                <c:pt idx="19">
                  <c:v>2039-2040</c:v>
                </c:pt>
                <c:pt idx="20">
                  <c:v>2040-2041</c:v>
                </c:pt>
                <c:pt idx="21">
                  <c:v>2041-2042</c:v>
                </c:pt>
                <c:pt idx="22">
                  <c:v>2042-2043</c:v>
                </c:pt>
                <c:pt idx="23">
                  <c:v>2043-2044</c:v>
                </c:pt>
                <c:pt idx="24">
                  <c:v>2044-2045</c:v>
                </c:pt>
                <c:pt idx="25">
                  <c:v>2045-2046</c:v>
                </c:pt>
                <c:pt idx="26">
                  <c:v>2046-2047</c:v>
                </c:pt>
                <c:pt idx="27">
                  <c:v>2047-2048</c:v>
                </c:pt>
                <c:pt idx="28">
                  <c:v>2048-2049</c:v>
                </c:pt>
                <c:pt idx="29">
                  <c:v>2049-2050</c:v>
                </c:pt>
              </c:strCache>
            </c:strRef>
          </c:cat>
          <c:val>
            <c:numRef>
              <c:f>'Estimated Expenditure'!$B$85:$AE$85</c:f>
              <c:numCache>
                <c:formatCode>_("£"* #,##0.00_);_("£"* \(#,##0.00\);_("£"* "-"??_);_(@_)</c:formatCode>
                <c:ptCount val="30"/>
                <c:pt idx="0">
                  <c:v>4.6429181442009728</c:v>
                </c:pt>
                <c:pt idx="1">
                  <c:v>3.9255189329563636</c:v>
                </c:pt>
                <c:pt idx="2">
                  <c:v>3.6324372581435624</c:v>
                </c:pt>
                <c:pt idx="3">
                  <c:v>2.3250505970219622</c:v>
                </c:pt>
                <c:pt idx="4">
                  <c:v>2.2506883795683619</c:v>
                </c:pt>
                <c:pt idx="5">
                  <c:v>1.6154281666666666</c:v>
                </c:pt>
                <c:pt idx="6">
                  <c:v>2.0444776666666664</c:v>
                </c:pt>
                <c:pt idx="7">
                  <c:v>2.0612026666666665</c:v>
                </c:pt>
                <c:pt idx="8">
                  <c:v>1.9785061666666666</c:v>
                </c:pt>
                <c:pt idx="9">
                  <c:v>1.9744841666666666</c:v>
                </c:pt>
                <c:pt idx="10">
                  <c:v>2.1826801666666666</c:v>
                </c:pt>
                <c:pt idx="11">
                  <c:v>2.1070936666666666</c:v>
                </c:pt>
                <c:pt idx="12">
                  <c:v>2.2720961666666666</c:v>
                </c:pt>
                <c:pt idx="13">
                  <c:v>2.5123291666666665</c:v>
                </c:pt>
                <c:pt idx="14">
                  <c:v>2.1976066666666667</c:v>
                </c:pt>
                <c:pt idx="15">
                  <c:v>2.6928476666666663</c:v>
                </c:pt>
                <c:pt idx="16">
                  <c:v>2.2730276666666667</c:v>
                </c:pt>
                <c:pt idx="17">
                  <c:v>2.2281486666666663</c:v>
                </c:pt>
                <c:pt idx="18">
                  <c:v>2.2582231666666663</c:v>
                </c:pt>
                <c:pt idx="19">
                  <c:v>2.3782651666666665</c:v>
                </c:pt>
                <c:pt idx="20">
                  <c:v>1.8501855</c:v>
                </c:pt>
                <c:pt idx="21">
                  <c:v>1.8741855000000001</c:v>
                </c:pt>
                <c:pt idx="22">
                  <c:v>2.2131854999999998</c:v>
                </c:pt>
                <c:pt idx="23">
                  <c:v>2.2129354999999999</c:v>
                </c:pt>
                <c:pt idx="24">
                  <c:v>2.1894355000000001</c:v>
                </c:pt>
                <c:pt idx="25">
                  <c:v>2.2544355</c:v>
                </c:pt>
                <c:pt idx="26">
                  <c:v>2.3129355</c:v>
                </c:pt>
                <c:pt idx="27">
                  <c:v>2.2194354999999999</c:v>
                </c:pt>
                <c:pt idx="28">
                  <c:v>1.7574354999999999</c:v>
                </c:pt>
                <c:pt idx="29">
                  <c:v>1.9648730000000001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28-4BFF-8200-3181EDA14A48}"/>
            </c:ext>
          </c:extLst>
        </c:ser>
        <c:ser>
          <c:idx val="4"/>
          <c:order val="4"/>
          <c:tx>
            <c:strRef>
              <c:f>'Estimated Expenditure'!$A$86</c:f>
              <c:strCache>
                <c:ptCount val="1"/>
                <c:pt idx="0">
                  <c:v>Other Assets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'Estimated Expenditure'!$B$80:$AE$80</c:f>
              <c:strCache>
                <c:ptCount val="30"/>
                <c:pt idx="0">
                  <c:v>2020-2021</c:v>
                </c:pt>
                <c:pt idx="1">
                  <c:v>2021-2022</c:v>
                </c:pt>
                <c:pt idx="2">
                  <c:v>2022-2023</c:v>
                </c:pt>
                <c:pt idx="3">
                  <c:v>2023-2024</c:v>
                </c:pt>
                <c:pt idx="4">
                  <c:v>2024-2025</c:v>
                </c:pt>
                <c:pt idx="5">
                  <c:v>2025-2026</c:v>
                </c:pt>
                <c:pt idx="6">
                  <c:v>2026-2027</c:v>
                </c:pt>
                <c:pt idx="7">
                  <c:v>2027-2028</c:v>
                </c:pt>
                <c:pt idx="8">
                  <c:v>2028-2029</c:v>
                </c:pt>
                <c:pt idx="9">
                  <c:v>2029-2030</c:v>
                </c:pt>
                <c:pt idx="10">
                  <c:v>2030-2031</c:v>
                </c:pt>
                <c:pt idx="11">
                  <c:v>2031-2032</c:v>
                </c:pt>
                <c:pt idx="12">
                  <c:v>2032-2033</c:v>
                </c:pt>
                <c:pt idx="13">
                  <c:v>2033-2034</c:v>
                </c:pt>
                <c:pt idx="14">
                  <c:v>2034-2035</c:v>
                </c:pt>
                <c:pt idx="15">
                  <c:v>2035-2036</c:v>
                </c:pt>
                <c:pt idx="16">
                  <c:v>2036-2037</c:v>
                </c:pt>
                <c:pt idx="17">
                  <c:v>2037-2038</c:v>
                </c:pt>
                <c:pt idx="18">
                  <c:v>2038-2039</c:v>
                </c:pt>
                <c:pt idx="19">
                  <c:v>2039-2040</c:v>
                </c:pt>
                <c:pt idx="20">
                  <c:v>2040-2041</c:v>
                </c:pt>
                <c:pt idx="21">
                  <c:v>2041-2042</c:v>
                </c:pt>
                <c:pt idx="22">
                  <c:v>2042-2043</c:v>
                </c:pt>
                <c:pt idx="23">
                  <c:v>2043-2044</c:v>
                </c:pt>
                <c:pt idx="24">
                  <c:v>2044-2045</c:v>
                </c:pt>
                <c:pt idx="25">
                  <c:v>2045-2046</c:v>
                </c:pt>
                <c:pt idx="26">
                  <c:v>2046-2047</c:v>
                </c:pt>
                <c:pt idx="27">
                  <c:v>2047-2048</c:v>
                </c:pt>
                <c:pt idx="28">
                  <c:v>2048-2049</c:v>
                </c:pt>
                <c:pt idx="29">
                  <c:v>2049-2050</c:v>
                </c:pt>
              </c:strCache>
            </c:strRef>
          </c:cat>
          <c:val>
            <c:numRef>
              <c:f>'Estimated Expenditure'!$B$86:$AE$86</c:f>
              <c:numCache>
                <c:formatCode>_("£"* #,##0.00_);_("£"* \(#,##0.00\);_("£"* "-"??_);_(@_)</c:formatCode>
                <c:ptCount val="30"/>
                <c:pt idx="0">
                  <c:v>22.565712296273663</c:v>
                </c:pt>
                <c:pt idx="1">
                  <c:v>21.7655460418</c:v>
                </c:pt>
                <c:pt idx="2">
                  <c:v>18.912244275600003</c:v>
                </c:pt>
                <c:pt idx="3">
                  <c:v>17.951087170599997</c:v>
                </c:pt>
                <c:pt idx="4">
                  <c:v>20.586450908499998</c:v>
                </c:pt>
                <c:pt idx="5">
                  <c:v>19.867232849999997</c:v>
                </c:pt>
                <c:pt idx="6">
                  <c:v>15.513359953499998</c:v>
                </c:pt>
                <c:pt idx="7">
                  <c:v>16.264977875</c:v>
                </c:pt>
                <c:pt idx="8">
                  <c:v>16.428504390000001</c:v>
                </c:pt>
                <c:pt idx="9">
                  <c:v>15.0869510775</c:v>
                </c:pt>
                <c:pt idx="10">
                  <c:v>15.626831984999999</c:v>
                </c:pt>
                <c:pt idx="11">
                  <c:v>19.349414597999999</c:v>
                </c:pt>
                <c:pt idx="12">
                  <c:v>17.351047983499999</c:v>
                </c:pt>
                <c:pt idx="13">
                  <c:v>15.041019929999999</c:v>
                </c:pt>
                <c:pt idx="14">
                  <c:v>22.046671864999997</c:v>
                </c:pt>
                <c:pt idx="15">
                  <c:v>20.078288435000001</c:v>
                </c:pt>
                <c:pt idx="16">
                  <c:v>21.523695939</c:v>
                </c:pt>
                <c:pt idx="17">
                  <c:v>21.152314704499997</c:v>
                </c:pt>
                <c:pt idx="18">
                  <c:v>17.145756883499999</c:v>
                </c:pt>
                <c:pt idx="19">
                  <c:v>9.5508115</c:v>
                </c:pt>
                <c:pt idx="20">
                  <c:v>13.2410245</c:v>
                </c:pt>
                <c:pt idx="21">
                  <c:v>16.748101999999999</c:v>
                </c:pt>
                <c:pt idx="22">
                  <c:v>16.774311999999998</c:v>
                </c:pt>
                <c:pt idx="23">
                  <c:v>25.336924499999999</c:v>
                </c:pt>
                <c:pt idx="24">
                  <c:v>20.9316745</c:v>
                </c:pt>
                <c:pt idx="25">
                  <c:v>15.824699499999999</c:v>
                </c:pt>
                <c:pt idx="26">
                  <c:v>24.659674500000001</c:v>
                </c:pt>
                <c:pt idx="27">
                  <c:v>28.331061999999996</c:v>
                </c:pt>
                <c:pt idx="28">
                  <c:v>16.449762</c:v>
                </c:pt>
                <c:pt idx="29">
                  <c:v>13.171836900000001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28-4BFF-8200-3181EDA14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821664"/>
        <c:axId val="1161823960"/>
      </c:areaChart>
      <c:catAx>
        <c:axId val="116182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823960"/>
        <c:crosses val="autoZero"/>
        <c:auto val="1"/>
        <c:lblAlgn val="ctr"/>
        <c:lblOffset val="100"/>
        <c:noMultiLvlLbl val="0"/>
      </c:catAx>
      <c:valAx>
        <c:axId val="1161823960"/>
        <c:scaling>
          <c:orientation val="minMax"/>
          <c:max val="110"/>
          <c:min val="0"/>
        </c:scaling>
        <c:delete val="0"/>
        <c:axPos val="l"/>
        <c:numFmt formatCode="&quot;£&quot;#,##0.0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82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Connect Plus Lifecycle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74750818352266E-2"/>
          <c:y val="0.16827745860507656"/>
          <c:w val="0.89714354150125541"/>
          <c:h val="0.71201367619816713"/>
        </c:manualLayout>
      </c:layout>
      <c:areaChart>
        <c:grouping val="standard"/>
        <c:varyColors val="0"/>
        <c:ser>
          <c:idx val="3"/>
          <c:order val="2"/>
          <c:tx>
            <c:v>Risk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'Estimated Expenditure'!$B$119:$T$119</c:f>
              <c:numCache>
                <c:formatCode>_("£"* #,##0.00_);_("£"* \(#,##0.00\);_("£"* "-"??_);_(@_)</c:formatCode>
                <c:ptCount val="19"/>
                <c:pt idx="0">
                  <c:v>83.615850074200978</c:v>
                </c:pt>
                <c:pt idx="1">
                  <c:v>57.126068712956361</c:v>
                </c:pt>
                <c:pt idx="2">
                  <c:v>49.604939048143557</c:v>
                </c:pt>
                <c:pt idx="3">
                  <c:v>43.898430497021948</c:v>
                </c:pt>
                <c:pt idx="4">
                  <c:v>51.793342219568366</c:v>
                </c:pt>
                <c:pt idx="5">
                  <c:v>32.011544546269739</c:v>
                </c:pt>
                <c:pt idx="6">
                  <c:v>47.719788521032498</c:v>
                </c:pt>
                <c:pt idx="7">
                  <c:v>48.105967185070504</c:v>
                </c:pt>
                <c:pt idx="8">
                  <c:v>70.137208743028978</c:v>
                </c:pt>
                <c:pt idx="9">
                  <c:v>36.219346009349337</c:v>
                </c:pt>
                <c:pt idx="10">
                  <c:v>44.95913039214544</c:v>
                </c:pt>
                <c:pt idx="11">
                  <c:v>40.791311265928655</c:v>
                </c:pt>
                <c:pt idx="12">
                  <c:v>39.962791918903044</c:v>
                </c:pt>
                <c:pt idx="13">
                  <c:v>61.241006919600757</c:v>
                </c:pt>
                <c:pt idx="14">
                  <c:v>49.388101667314899</c:v>
                </c:pt>
                <c:pt idx="15">
                  <c:v>31.734083013581447</c:v>
                </c:pt>
                <c:pt idx="16">
                  <c:v>36.239805695766087</c:v>
                </c:pt>
                <c:pt idx="17">
                  <c:v>32.578880476490212</c:v>
                </c:pt>
                <c:pt idx="18">
                  <c:v>44.567816083881169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7-4C01-A80C-789AA33F7201}"/>
            </c:ext>
          </c:extLst>
        </c:ser>
        <c:ser>
          <c:idx val="4"/>
          <c:order val="3"/>
          <c:tx>
            <c:v>Opportunity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val>
            <c:numRef>
              <c:f>'Estimated Expenditure'!$B$120:$T$120</c:f>
              <c:numCache>
                <c:formatCode>_("£"* #,##0.00_);_("£"* \(#,##0.00\);_("£"* "-"??_);_(@_)</c:formatCode>
                <c:ptCount val="19"/>
                <c:pt idx="0">
                  <c:v>61.3821803507307</c:v>
                </c:pt>
                <c:pt idx="1">
                  <c:v>51.74517843142025</c:v>
                </c:pt>
                <c:pt idx="2">
                  <c:v>54.261146004077773</c:v>
                </c:pt>
                <c:pt idx="3">
                  <c:v>59.923210637913151</c:v>
                </c:pt>
                <c:pt idx="4">
                  <c:v>54.787692996853863</c:v>
                </c:pt>
                <c:pt idx="5">
                  <c:v>41.7306493741727</c:v>
                </c:pt>
                <c:pt idx="6">
                  <c:v>39.385492037573037</c:v>
                </c:pt>
                <c:pt idx="7">
                  <c:v>44.701847724928044</c:v>
                </c:pt>
                <c:pt idx="8">
                  <c:v>50.158968102133592</c:v>
                </c:pt>
                <c:pt idx="9">
                  <c:v>56.581193624269794</c:v>
                </c:pt>
                <c:pt idx="10">
                  <c:v>55.617084129197089</c:v>
                </c:pt>
                <c:pt idx="11">
                  <c:v>56.620026798514559</c:v>
                </c:pt>
                <c:pt idx="12">
                  <c:v>53.063243562798711</c:v>
                </c:pt>
                <c:pt idx="13">
                  <c:v>37.23650092849693</c:v>
                </c:pt>
                <c:pt idx="14">
                  <c:v>33.678481824094241</c:v>
                </c:pt>
                <c:pt idx="15">
                  <c:v>31.184693063587858</c:v>
                </c:pt>
                <c:pt idx="16">
                  <c:v>36.379763227129146</c:v>
                </c:pt>
                <c:pt idx="17">
                  <c:v>26.815784516042648</c:v>
                </c:pt>
                <c:pt idx="18">
                  <c:v>2.4062637476383024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F7-4C01-A80C-789AA33F7201}"/>
            </c:ext>
          </c:extLst>
        </c:ser>
        <c:ser>
          <c:idx val="2"/>
          <c:order val="4"/>
          <c:tx>
            <c:strRef>
              <c:f>'Estimated Expenditure'!$A$126</c:f>
              <c:strCache>
                <c:ptCount val="1"/>
                <c:pt idx="0">
                  <c:v>Minimum Yearly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'Estimated Expenditure'!$B$126:$T$126</c:f>
              <c:numCache>
                <c:formatCode>_("£"* #,##0.00_);_("£"* \(#,##0.00\);_("£"* "-"??_);_(@_)</c:formatCode>
                <c:ptCount val="19"/>
                <c:pt idx="0">
                  <c:v>61.3821803507307</c:v>
                </c:pt>
                <c:pt idx="1">
                  <c:v>51.74517843142025</c:v>
                </c:pt>
                <c:pt idx="2">
                  <c:v>49.604939048143557</c:v>
                </c:pt>
                <c:pt idx="3">
                  <c:v>43.898430497021948</c:v>
                </c:pt>
                <c:pt idx="4">
                  <c:v>51.793342219568366</c:v>
                </c:pt>
                <c:pt idx="5">
                  <c:v>32.011544546269739</c:v>
                </c:pt>
                <c:pt idx="6">
                  <c:v>39.385492037573037</c:v>
                </c:pt>
                <c:pt idx="7">
                  <c:v>44.701847724928044</c:v>
                </c:pt>
                <c:pt idx="8">
                  <c:v>50.158968102133592</c:v>
                </c:pt>
                <c:pt idx="9">
                  <c:v>36.219346009349337</c:v>
                </c:pt>
                <c:pt idx="10">
                  <c:v>44.95913039214544</c:v>
                </c:pt>
                <c:pt idx="11">
                  <c:v>40.791311265928655</c:v>
                </c:pt>
                <c:pt idx="12">
                  <c:v>39.962791918903044</c:v>
                </c:pt>
                <c:pt idx="13">
                  <c:v>37.23650092849693</c:v>
                </c:pt>
                <c:pt idx="14">
                  <c:v>33.678481824094241</c:v>
                </c:pt>
                <c:pt idx="15">
                  <c:v>31.184693063587858</c:v>
                </c:pt>
                <c:pt idx="16">
                  <c:v>36.239805695766087</c:v>
                </c:pt>
                <c:pt idx="17">
                  <c:v>26.815784516042648</c:v>
                </c:pt>
                <c:pt idx="18">
                  <c:v>2.4062637476383024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7-4C01-A80C-789AA33F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23448"/>
        <c:axId val="1729213280"/>
      </c:areaChart>
      <c:lineChart>
        <c:grouping val="standard"/>
        <c:varyColors val="0"/>
        <c:ser>
          <c:idx val="0"/>
          <c:order val="0"/>
          <c:tx>
            <c:strRef>
              <c:f>'Estimated Expenditure'!$A$119</c:f>
              <c:strCache>
                <c:ptCount val="1"/>
                <c:pt idx="0">
                  <c:v>30-Year Investment 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203117224981193E-2"/>
                  <c:y val="-4.08080679415921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F7-4C01-A80C-789AA33F7201}"/>
                </c:ext>
              </c:extLst>
            </c:dLbl>
            <c:dLbl>
              <c:idx val="1"/>
              <c:layout>
                <c:manualLayout>
                  <c:x val="2.6325793404946064E-4"/>
                  <c:y val="-4.7030004923658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F7-4C01-A80C-789AA33F7201}"/>
                </c:ext>
              </c:extLst>
            </c:dLbl>
            <c:dLbl>
              <c:idx val="6"/>
              <c:layout>
                <c:manualLayout>
                  <c:x val="-2.9224344499935051E-2"/>
                  <c:y val="-3.1880137115454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7F7-4C01-A80C-789AA33F7201}"/>
                </c:ext>
              </c:extLst>
            </c:dLbl>
            <c:dLbl>
              <c:idx val="7"/>
              <c:layout>
                <c:manualLayout>
                  <c:x val="-4.1860357135947636E-2"/>
                  <c:y val="-6.33900942619127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F7-4C01-A80C-789AA33F7201}"/>
                </c:ext>
              </c:extLst>
            </c:dLbl>
            <c:dLbl>
              <c:idx val="8"/>
              <c:layout>
                <c:manualLayout>
                  <c:x val="-2.756875042793569E-2"/>
                  <c:y val="-2.96623965747043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7E-4BA5-AC2C-63BCBAA31030}"/>
                </c:ext>
              </c:extLst>
            </c:dLbl>
            <c:dLbl>
              <c:idx val="13"/>
              <c:layout>
                <c:manualLayout>
                  <c:x val="-2.8960054775761829E-2"/>
                  <c:y val="-4.26758149973499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7E-4BA5-AC2C-63BCBAA31030}"/>
                </c:ext>
              </c:extLst>
            </c:dLbl>
            <c:dLbl>
              <c:idx val="14"/>
              <c:layout>
                <c:manualLayout>
                  <c:x val="-2.3394837384457377E-2"/>
                  <c:y val="-5.89425880256569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7E-4BA5-AC2C-63BCBAA31030}"/>
                </c:ext>
              </c:extLst>
            </c:dLbl>
            <c:dLbl>
              <c:idx val="15"/>
              <c:layout>
                <c:manualLayout>
                  <c:x val="-2.4748012149586954E-2"/>
                  <c:y val="-5.47459453880340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7E-4BA5-AC2C-63BCBAA31030}"/>
                </c:ext>
              </c:extLst>
            </c:dLbl>
            <c:dLbl>
              <c:idx val="16"/>
              <c:layout>
                <c:manualLayout>
                  <c:x val="-2.8960054775761829E-2"/>
                  <c:y val="-4.26758149973499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7E-4BA5-AC2C-63BCBAA31030}"/>
                </c:ext>
              </c:extLst>
            </c:dLbl>
            <c:dLbl>
              <c:idx val="17"/>
              <c:layout>
                <c:manualLayout>
                  <c:x val="-3.2032347307938067E-2"/>
                  <c:y val="-5.0786111403329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7F7-4C01-A80C-789AA33F7201}"/>
                </c:ext>
              </c:extLst>
            </c:dLbl>
            <c:dLbl>
              <c:idx val="18"/>
              <c:layout>
                <c:manualLayout>
                  <c:x val="-3.0628345903936659E-2"/>
                  <c:y val="-3.81821285447461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F7-4C01-A80C-789AA33F7201}"/>
                </c:ext>
              </c:extLst>
            </c:dLbl>
            <c:numFmt formatCode="&quot;£&quot;#,##0.0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'Estimated Expenditure'!$B$118:$T$118</c:f>
              <c:strCache>
                <c:ptCount val="19"/>
                <c:pt idx="0">
                  <c:v>Year12</c:v>
                </c:pt>
                <c:pt idx="1">
                  <c:v>Year13</c:v>
                </c:pt>
                <c:pt idx="2">
                  <c:v>Year14</c:v>
                </c:pt>
                <c:pt idx="3">
                  <c:v>Year15</c:v>
                </c:pt>
                <c:pt idx="4">
                  <c:v>Year16</c:v>
                </c:pt>
                <c:pt idx="5">
                  <c:v>Year17</c:v>
                </c:pt>
                <c:pt idx="6">
                  <c:v>Year18</c:v>
                </c:pt>
                <c:pt idx="7">
                  <c:v>Year19</c:v>
                </c:pt>
                <c:pt idx="8">
                  <c:v>Year20</c:v>
                </c:pt>
                <c:pt idx="9">
                  <c:v>Year21</c:v>
                </c:pt>
                <c:pt idx="10">
                  <c:v>Year22</c:v>
                </c:pt>
                <c:pt idx="11">
                  <c:v>Year23</c:v>
                </c:pt>
                <c:pt idx="12">
                  <c:v>Year24</c:v>
                </c:pt>
                <c:pt idx="13">
                  <c:v>Year25</c:v>
                </c:pt>
                <c:pt idx="14">
                  <c:v>Year26</c:v>
                </c:pt>
                <c:pt idx="15">
                  <c:v>Year27</c:v>
                </c:pt>
                <c:pt idx="16">
                  <c:v>Year28</c:v>
                </c:pt>
                <c:pt idx="17">
                  <c:v>Year29</c:v>
                </c:pt>
                <c:pt idx="18">
                  <c:v>Year30</c:v>
                </c:pt>
              </c:strCache>
            </c:strRef>
          </c:cat>
          <c:val>
            <c:numRef>
              <c:f>'Estimated Expenditure'!$B$119:$T$119</c:f>
              <c:numCache>
                <c:formatCode>_("£"* #,##0.00_);_("£"* \(#,##0.00\);_("£"* "-"??_);_(@_)</c:formatCode>
                <c:ptCount val="19"/>
                <c:pt idx="0">
                  <c:v>83.615850074200978</c:v>
                </c:pt>
                <c:pt idx="1">
                  <c:v>57.126068712956361</c:v>
                </c:pt>
                <c:pt idx="2">
                  <c:v>49.604939048143557</c:v>
                </c:pt>
                <c:pt idx="3">
                  <c:v>43.898430497021948</c:v>
                </c:pt>
                <c:pt idx="4">
                  <c:v>51.793342219568366</c:v>
                </c:pt>
                <c:pt idx="5">
                  <c:v>32.011544546269739</c:v>
                </c:pt>
                <c:pt idx="6">
                  <c:v>47.719788521032498</c:v>
                </c:pt>
                <c:pt idx="7">
                  <c:v>48.105967185070504</c:v>
                </c:pt>
                <c:pt idx="8">
                  <c:v>70.137208743028978</c:v>
                </c:pt>
                <c:pt idx="9">
                  <c:v>36.219346009349337</c:v>
                </c:pt>
                <c:pt idx="10">
                  <c:v>44.95913039214544</c:v>
                </c:pt>
                <c:pt idx="11">
                  <c:v>40.791311265928655</c:v>
                </c:pt>
                <c:pt idx="12">
                  <c:v>39.962791918903044</c:v>
                </c:pt>
                <c:pt idx="13">
                  <c:v>61.241006919600757</c:v>
                </c:pt>
                <c:pt idx="14">
                  <c:v>49.388101667314899</c:v>
                </c:pt>
                <c:pt idx="15">
                  <c:v>31.734083013581447</c:v>
                </c:pt>
                <c:pt idx="16">
                  <c:v>36.239805695766087</c:v>
                </c:pt>
                <c:pt idx="17">
                  <c:v>32.578880476490212</c:v>
                </c:pt>
                <c:pt idx="18">
                  <c:v>44.567816083881169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E-4BA5-AC2C-63BCBAA31030}"/>
            </c:ext>
          </c:extLst>
        </c:ser>
        <c:ser>
          <c:idx val="1"/>
          <c:order val="1"/>
          <c:tx>
            <c:strRef>
              <c:f>'Estimated Expenditure'!$A$120</c:f>
              <c:strCache>
                <c:ptCount val="1"/>
                <c:pt idx="0">
                  <c:v>Financial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2.9224344499935075E-2"/>
                  <c:y val="-3.81821285447461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F7-4C01-A80C-789AA33F7201}"/>
                </c:ext>
              </c:extLst>
            </c:dLbl>
            <c:dLbl>
              <c:idx val="4"/>
              <c:layout>
                <c:manualLayout>
                  <c:x val="-2.7820343095933647E-2"/>
                  <c:y val="-4.76351156886836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7F7-4C01-A80C-789AA33F7201}"/>
                </c:ext>
              </c:extLst>
            </c:dLbl>
            <c:dLbl>
              <c:idx val="5"/>
              <c:layout>
                <c:manualLayout>
                  <c:x val="-2.9224344499935051E-2"/>
                  <c:y val="-6.6541089976558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7F7-4C01-A80C-789AA33F7201}"/>
                </c:ext>
              </c:extLst>
            </c:dLbl>
            <c:dLbl>
              <c:idx val="12"/>
              <c:layout>
                <c:manualLayout>
                  <c:x val="-2.9224344499935051E-2"/>
                  <c:y val="-4.1333124259391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7F7-4C01-A80C-789AA33F7201}"/>
                </c:ext>
              </c:extLst>
            </c:dLbl>
            <c:dLbl>
              <c:idx val="17"/>
              <c:layout>
                <c:manualLayout>
                  <c:x val="-4.6072361347951903E-2"/>
                  <c:y val="3.74417686067537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F7-4C01-A80C-789AA33F7201}"/>
                </c:ext>
              </c:extLst>
            </c:dLbl>
            <c:dLbl>
              <c:idx val="18"/>
              <c:layout>
                <c:manualLayout>
                  <c:x val="-1.1209475761441913E-3"/>
                  <c:y val="-1.96950526865222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F7-4C01-A80C-789AA33F7201}"/>
                </c:ext>
              </c:extLst>
            </c:dLbl>
            <c:numFmt formatCode="&quot;£&quot;#,##0.0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'Estimated Expenditure'!$B$118:$T$118</c:f>
              <c:strCache>
                <c:ptCount val="19"/>
                <c:pt idx="0">
                  <c:v>Year12</c:v>
                </c:pt>
                <c:pt idx="1">
                  <c:v>Year13</c:v>
                </c:pt>
                <c:pt idx="2">
                  <c:v>Year14</c:v>
                </c:pt>
                <c:pt idx="3">
                  <c:v>Year15</c:v>
                </c:pt>
                <c:pt idx="4">
                  <c:v>Year16</c:v>
                </c:pt>
                <c:pt idx="5">
                  <c:v>Year17</c:v>
                </c:pt>
                <c:pt idx="6">
                  <c:v>Year18</c:v>
                </c:pt>
                <c:pt idx="7">
                  <c:v>Year19</c:v>
                </c:pt>
                <c:pt idx="8">
                  <c:v>Year20</c:v>
                </c:pt>
                <c:pt idx="9">
                  <c:v>Year21</c:v>
                </c:pt>
                <c:pt idx="10">
                  <c:v>Year22</c:v>
                </c:pt>
                <c:pt idx="11">
                  <c:v>Year23</c:v>
                </c:pt>
                <c:pt idx="12">
                  <c:v>Year24</c:v>
                </c:pt>
                <c:pt idx="13">
                  <c:v>Year25</c:v>
                </c:pt>
                <c:pt idx="14">
                  <c:v>Year26</c:v>
                </c:pt>
                <c:pt idx="15">
                  <c:v>Year27</c:v>
                </c:pt>
                <c:pt idx="16">
                  <c:v>Year28</c:v>
                </c:pt>
                <c:pt idx="17">
                  <c:v>Year29</c:v>
                </c:pt>
                <c:pt idx="18">
                  <c:v>Year30</c:v>
                </c:pt>
              </c:strCache>
            </c:strRef>
          </c:cat>
          <c:val>
            <c:numRef>
              <c:f>'Estimated Expenditure'!$B$120:$T$120</c:f>
              <c:numCache>
                <c:formatCode>_("£"* #,##0.00_);_("£"* \(#,##0.00\);_("£"* "-"??_);_(@_)</c:formatCode>
                <c:ptCount val="19"/>
                <c:pt idx="0">
                  <c:v>61.3821803507307</c:v>
                </c:pt>
                <c:pt idx="1">
                  <c:v>51.74517843142025</c:v>
                </c:pt>
                <c:pt idx="2">
                  <c:v>54.261146004077773</c:v>
                </c:pt>
                <c:pt idx="3">
                  <c:v>59.923210637913151</c:v>
                </c:pt>
                <c:pt idx="4">
                  <c:v>54.787692996853863</c:v>
                </c:pt>
                <c:pt idx="5">
                  <c:v>41.7306493741727</c:v>
                </c:pt>
                <c:pt idx="6">
                  <c:v>39.385492037573037</c:v>
                </c:pt>
                <c:pt idx="7">
                  <c:v>44.701847724928044</c:v>
                </c:pt>
                <c:pt idx="8">
                  <c:v>50.158968102133592</c:v>
                </c:pt>
                <c:pt idx="9">
                  <c:v>56.581193624269794</c:v>
                </c:pt>
                <c:pt idx="10">
                  <c:v>55.617084129197089</c:v>
                </c:pt>
                <c:pt idx="11">
                  <c:v>56.620026798514559</c:v>
                </c:pt>
                <c:pt idx="12">
                  <c:v>53.063243562798711</c:v>
                </c:pt>
                <c:pt idx="13">
                  <c:v>37.23650092849693</c:v>
                </c:pt>
                <c:pt idx="14">
                  <c:v>33.678481824094241</c:v>
                </c:pt>
                <c:pt idx="15">
                  <c:v>31.184693063587858</c:v>
                </c:pt>
                <c:pt idx="16">
                  <c:v>36.379763227129146</c:v>
                </c:pt>
                <c:pt idx="17">
                  <c:v>26.815784516042648</c:v>
                </c:pt>
                <c:pt idx="18">
                  <c:v>2.4062637476383024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E-4BA5-AC2C-63BCBAA31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223448"/>
        <c:axId val="1729213280"/>
      </c:lineChart>
      <c:catAx>
        <c:axId val="1729223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13280"/>
        <c:crosses val="autoZero"/>
        <c:auto val="1"/>
        <c:lblAlgn val="ctr"/>
        <c:lblOffset val="100"/>
        <c:noMultiLvlLbl val="0"/>
      </c:catAx>
      <c:valAx>
        <c:axId val="1729213280"/>
        <c:scaling>
          <c:orientation val="minMax"/>
        </c:scaling>
        <c:delete val="0"/>
        <c:axPos val="l"/>
        <c:numFmt formatCode="&quot;£&quot;#,##0.0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2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30-Year Investment</a:t>
            </a:r>
            <a:r>
              <a:rPr lang="en-GB" b="1" baseline="0">
                <a:solidFill>
                  <a:schemeClr val="tx1"/>
                </a:solidFill>
              </a:rPr>
              <a:t> Plan versus Financial Model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2"/>
          <c:tx>
            <c:v>Risk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'Estimated Expenditure'!$B$121:$T$121</c:f>
              <c:numCache>
                <c:formatCode>_("£"* #,##0.00_);_("£"* \(#,##0.00\);_("£"* "-"??_);_(@_)</c:formatCode>
                <c:ptCount val="19"/>
                <c:pt idx="0">
                  <c:v>83.615850074200978</c:v>
                </c:pt>
                <c:pt idx="1">
                  <c:v>140.74191878715735</c:v>
                </c:pt>
                <c:pt idx="2">
                  <c:v>190.34685783530091</c:v>
                </c:pt>
                <c:pt idx="3">
                  <c:v>234.24528833232284</c:v>
                </c:pt>
                <c:pt idx="4">
                  <c:v>286.03863055189123</c:v>
                </c:pt>
                <c:pt idx="5">
                  <c:v>318.05017509816099</c:v>
                </c:pt>
                <c:pt idx="6">
                  <c:v>365.7699636191935</c:v>
                </c:pt>
                <c:pt idx="7">
                  <c:v>413.87593080426399</c:v>
                </c:pt>
                <c:pt idx="8">
                  <c:v>484.01313954729295</c:v>
                </c:pt>
                <c:pt idx="9">
                  <c:v>520.23248555664225</c:v>
                </c:pt>
                <c:pt idx="10">
                  <c:v>565.19161594878767</c:v>
                </c:pt>
                <c:pt idx="11">
                  <c:v>605.98292721471637</c:v>
                </c:pt>
                <c:pt idx="12">
                  <c:v>645.94571913361938</c:v>
                </c:pt>
                <c:pt idx="13">
                  <c:v>707.18672605322013</c:v>
                </c:pt>
                <c:pt idx="14">
                  <c:v>756.57482772053504</c:v>
                </c:pt>
                <c:pt idx="15">
                  <c:v>788.30891073411647</c:v>
                </c:pt>
                <c:pt idx="16">
                  <c:v>824.54871642988257</c:v>
                </c:pt>
                <c:pt idx="17">
                  <c:v>857.12759690637279</c:v>
                </c:pt>
                <c:pt idx="18">
                  <c:v>901.695412990254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F3-4E21-A624-6AAF3C86FB29}"/>
            </c:ext>
          </c:extLst>
        </c:ser>
        <c:ser>
          <c:idx val="3"/>
          <c:order val="3"/>
          <c:tx>
            <c:v>Opportunity</c:v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val>
            <c:numRef>
              <c:f>'Estimated Expenditure'!$B$122:$T$122</c:f>
              <c:numCache>
                <c:formatCode>_("£"* #,##0.00_);_("£"* \(#,##0.00\);_("£"* "-"??_);_(@_)</c:formatCode>
                <c:ptCount val="19"/>
                <c:pt idx="0">
                  <c:v>61.3821803507307</c:v>
                </c:pt>
                <c:pt idx="1">
                  <c:v>113.12735878215095</c:v>
                </c:pt>
                <c:pt idx="2">
                  <c:v>167.38850478622874</c:v>
                </c:pt>
                <c:pt idx="3">
                  <c:v>227.31171542414188</c:v>
                </c:pt>
                <c:pt idx="4">
                  <c:v>282.09940842099576</c:v>
                </c:pt>
                <c:pt idx="5">
                  <c:v>323.83005779516844</c:v>
                </c:pt>
                <c:pt idx="6">
                  <c:v>363.21554983274149</c:v>
                </c:pt>
                <c:pt idx="7">
                  <c:v>407.91739755766952</c:v>
                </c:pt>
                <c:pt idx="8">
                  <c:v>458.07636565980312</c:v>
                </c:pt>
                <c:pt idx="9">
                  <c:v>514.65755928407293</c:v>
                </c:pt>
                <c:pt idx="10">
                  <c:v>570.27464341327004</c:v>
                </c:pt>
                <c:pt idx="11">
                  <c:v>626.89467021178461</c:v>
                </c:pt>
                <c:pt idx="12">
                  <c:v>679.95791377458329</c:v>
                </c:pt>
                <c:pt idx="13">
                  <c:v>717.19441470308027</c:v>
                </c:pt>
                <c:pt idx="14">
                  <c:v>750.87289652717448</c:v>
                </c:pt>
                <c:pt idx="15">
                  <c:v>782.05758959076229</c:v>
                </c:pt>
                <c:pt idx="16">
                  <c:v>818.43735281789145</c:v>
                </c:pt>
                <c:pt idx="17">
                  <c:v>845.25313733393409</c:v>
                </c:pt>
                <c:pt idx="18">
                  <c:v>847.65940108157235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3-4E21-A624-6AAF3C86FB29}"/>
            </c:ext>
          </c:extLst>
        </c:ser>
        <c:ser>
          <c:idx val="2"/>
          <c:order val="4"/>
          <c:tx>
            <c:strRef>
              <c:f>'Estimated Expenditure'!$A$125</c:f>
              <c:strCache>
                <c:ptCount val="1"/>
                <c:pt idx="0">
                  <c:v>Minimum Cumulative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val>
            <c:numRef>
              <c:f>'Estimated Expenditure'!$B$125:$T$125</c:f>
              <c:numCache>
                <c:formatCode>_("£"* #,##0.00_);_("£"* \(#,##0.00\);_("£"* "-"??_);_(@_)</c:formatCode>
                <c:ptCount val="19"/>
                <c:pt idx="0">
                  <c:v>61.3821803507307</c:v>
                </c:pt>
                <c:pt idx="1">
                  <c:v>113.12735878215095</c:v>
                </c:pt>
                <c:pt idx="2">
                  <c:v>167.38850478622874</c:v>
                </c:pt>
                <c:pt idx="3">
                  <c:v>227.31171542414188</c:v>
                </c:pt>
                <c:pt idx="4">
                  <c:v>282.09940842099576</c:v>
                </c:pt>
                <c:pt idx="5">
                  <c:v>318.05017509816099</c:v>
                </c:pt>
                <c:pt idx="6">
                  <c:v>363.21554983274149</c:v>
                </c:pt>
                <c:pt idx="7">
                  <c:v>407.91739755766952</c:v>
                </c:pt>
                <c:pt idx="8">
                  <c:v>458.07636565980312</c:v>
                </c:pt>
                <c:pt idx="9">
                  <c:v>514.65755928407293</c:v>
                </c:pt>
                <c:pt idx="10">
                  <c:v>565.19161594878767</c:v>
                </c:pt>
                <c:pt idx="11">
                  <c:v>605.98292721471637</c:v>
                </c:pt>
                <c:pt idx="12">
                  <c:v>645.94571913361938</c:v>
                </c:pt>
                <c:pt idx="13">
                  <c:v>707.18672605322013</c:v>
                </c:pt>
                <c:pt idx="14">
                  <c:v>750.87289652717448</c:v>
                </c:pt>
                <c:pt idx="15">
                  <c:v>782.05758959076229</c:v>
                </c:pt>
                <c:pt idx="16">
                  <c:v>818.43735281789145</c:v>
                </c:pt>
                <c:pt idx="17">
                  <c:v>845.25313733393409</c:v>
                </c:pt>
                <c:pt idx="18">
                  <c:v>847.65940108157235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3-4E21-A624-6AAF3C86F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129968"/>
        <c:axId val="1729131280"/>
      </c:areaChart>
      <c:lineChart>
        <c:grouping val="standard"/>
        <c:varyColors val="0"/>
        <c:ser>
          <c:idx val="0"/>
          <c:order val="0"/>
          <c:tx>
            <c:strRef>
              <c:f>'Estimated Expenditure'!$A$121</c:f>
              <c:strCache>
                <c:ptCount val="1"/>
                <c:pt idx="0">
                  <c:v>Cumulative - 30-Year Investment Plan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'Estimated Expenditure'!$B$118:$T$118</c:f>
              <c:strCache>
                <c:ptCount val="19"/>
                <c:pt idx="0">
                  <c:v>Year12</c:v>
                </c:pt>
                <c:pt idx="1">
                  <c:v>Year13</c:v>
                </c:pt>
                <c:pt idx="2">
                  <c:v>Year14</c:v>
                </c:pt>
                <c:pt idx="3">
                  <c:v>Year15</c:v>
                </c:pt>
                <c:pt idx="4">
                  <c:v>Year16</c:v>
                </c:pt>
                <c:pt idx="5">
                  <c:v>Year17</c:v>
                </c:pt>
                <c:pt idx="6">
                  <c:v>Year18</c:v>
                </c:pt>
                <c:pt idx="7">
                  <c:v>Year19</c:v>
                </c:pt>
                <c:pt idx="8">
                  <c:v>Year20</c:v>
                </c:pt>
                <c:pt idx="9">
                  <c:v>Year21</c:v>
                </c:pt>
                <c:pt idx="10">
                  <c:v>Year22</c:v>
                </c:pt>
                <c:pt idx="11">
                  <c:v>Year23</c:v>
                </c:pt>
                <c:pt idx="12">
                  <c:v>Year24</c:v>
                </c:pt>
                <c:pt idx="13">
                  <c:v>Year25</c:v>
                </c:pt>
                <c:pt idx="14">
                  <c:v>Year26</c:v>
                </c:pt>
                <c:pt idx="15">
                  <c:v>Year27</c:v>
                </c:pt>
                <c:pt idx="16">
                  <c:v>Year28</c:v>
                </c:pt>
                <c:pt idx="17">
                  <c:v>Year29</c:v>
                </c:pt>
                <c:pt idx="18">
                  <c:v>Year30</c:v>
                </c:pt>
              </c:strCache>
            </c:strRef>
          </c:cat>
          <c:val>
            <c:numRef>
              <c:f>'Estimated Expenditure'!$B$121:$T$121</c:f>
              <c:numCache>
                <c:formatCode>_("£"* #,##0.00_);_("£"* \(#,##0.00\);_("£"* "-"??_);_(@_)</c:formatCode>
                <c:ptCount val="19"/>
                <c:pt idx="0">
                  <c:v>83.615850074200978</c:v>
                </c:pt>
                <c:pt idx="1">
                  <c:v>140.74191878715735</c:v>
                </c:pt>
                <c:pt idx="2">
                  <c:v>190.34685783530091</c:v>
                </c:pt>
                <c:pt idx="3">
                  <c:v>234.24528833232284</c:v>
                </c:pt>
                <c:pt idx="4">
                  <c:v>286.03863055189123</c:v>
                </c:pt>
                <c:pt idx="5">
                  <c:v>318.05017509816099</c:v>
                </c:pt>
                <c:pt idx="6">
                  <c:v>365.7699636191935</c:v>
                </c:pt>
                <c:pt idx="7">
                  <c:v>413.87593080426399</c:v>
                </c:pt>
                <c:pt idx="8">
                  <c:v>484.01313954729295</c:v>
                </c:pt>
                <c:pt idx="9">
                  <c:v>520.23248555664225</c:v>
                </c:pt>
                <c:pt idx="10">
                  <c:v>565.19161594878767</c:v>
                </c:pt>
                <c:pt idx="11">
                  <c:v>605.98292721471637</c:v>
                </c:pt>
                <c:pt idx="12">
                  <c:v>645.94571913361938</c:v>
                </c:pt>
                <c:pt idx="13">
                  <c:v>707.18672605322013</c:v>
                </c:pt>
                <c:pt idx="14">
                  <c:v>756.57482772053504</c:v>
                </c:pt>
                <c:pt idx="15">
                  <c:v>788.30891073411647</c:v>
                </c:pt>
                <c:pt idx="16">
                  <c:v>824.54871642988257</c:v>
                </c:pt>
                <c:pt idx="17">
                  <c:v>857.12759690637279</c:v>
                </c:pt>
                <c:pt idx="18">
                  <c:v>901.695412990254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5-40C0-8078-53A5E5598860}"/>
            </c:ext>
          </c:extLst>
        </c:ser>
        <c:ser>
          <c:idx val="1"/>
          <c:order val="1"/>
          <c:tx>
            <c:strRef>
              <c:f>'Estimated Expenditure'!$A$122</c:f>
              <c:strCache>
                <c:ptCount val="1"/>
                <c:pt idx="0">
                  <c:v>Cumulative - Financial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'Estimated Expenditure'!$B$118:$T$118</c:f>
              <c:strCache>
                <c:ptCount val="19"/>
                <c:pt idx="0">
                  <c:v>Year12</c:v>
                </c:pt>
                <c:pt idx="1">
                  <c:v>Year13</c:v>
                </c:pt>
                <c:pt idx="2">
                  <c:v>Year14</c:v>
                </c:pt>
                <c:pt idx="3">
                  <c:v>Year15</c:v>
                </c:pt>
                <c:pt idx="4">
                  <c:v>Year16</c:v>
                </c:pt>
                <c:pt idx="5">
                  <c:v>Year17</c:v>
                </c:pt>
                <c:pt idx="6">
                  <c:v>Year18</c:v>
                </c:pt>
                <c:pt idx="7">
                  <c:v>Year19</c:v>
                </c:pt>
                <c:pt idx="8">
                  <c:v>Year20</c:v>
                </c:pt>
                <c:pt idx="9">
                  <c:v>Year21</c:v>
                </c:pt>
                <c:pt idx="10">
                  <c:v>Year22</c:v>
                </c:pt>
                <c:pt idx="11">
                  <c:v>Year23</c:v>
                </c:pt>
                <c:pt idx="12">
                  <c:v>Year24</c:v>
                </c:pt>
                <c:pt idx="13">
                  <c:v>Year25</c:v>
                </c:pt>
                <c:pt idx="14">
                  <c:v>Year26</c:v>
                </c:pt>
                <c:pt idx="15">
                  <c:v>Year27</c:v>
                </c:pt>
                <c:pt idx="16">
                  <c:v>Year28</c:v>
                </c:pt>
                <c:pt idx="17">
                  <c:v>Year29</c:v>
                </c:pt>
                <c:pt idx="18">
                  <c:v>Year30</c:v>
                </c:pt>
              </c:strCache>
            </c:strRef>
          </c:cat>
          <c:val>
            <c:numRef>
              <c:f>'Estimated Expenditure'!$B$122:$T$122</c:f>
              <c:numCache>
                <c:formatCode>_("£"* #,##0.00_);_("£"* \(#,##0.00\);_("£"* "-"??_);_(@_)</c:formatCode>
                <c:ptCount val="19"/>
                <c:pt idx="0">
                  <c:v>61.3821803507307</c:v>
                </c:pt>
                <c:pt idx="1">
                  <c:v>113.12735878215095</c:v>
                </c:pt>
                <c:pt idx="2">
                  <c:v>167.38850478622874</c:v>
                </c:pt>
                <c:pt idx="3">
                  <c:v>227.31171542414188</c:v>
                </c:pt>
                <c:pt idx="4">
                  <c:v>282.09940842099576</c:v>
                </c:pt>
                <c:pt idx="5">
                  <c:v>323.83005779516844</c:v>
                </c:pt>
                <c:pt idx="6">
                  <c:v>363.21554983274149</c:v>
                </c:pt>
                <c:pt idx="7">
                  <c:v>407.91739755766952</c:v>
                </c:pt>
                <c:pt idx="8">
                  <c:v>458.07636565980312</c:v>
                </c:pt>
                <c:pt idx="9">
                  <c:v>514.65755928407293</c:v>
                </c:pt>
                <c:pt idx="10">
                  <c:v>570.27464341327004</c:v>
                </c:pt>
                <c:pt idx="11">
                  <c:v>626.89467021178461</c:v>
                </c:pt>
                <c:pt idx="12">
                  <c:v>679.95791377458329</c:v>
                </c:pt>
                <c:pt idx="13">
                  <c:v>717.19441470308027</c:v>
                </c:pt>
                <c:pt idx="14">
                  <c:v>750.87289652717448</c:v>
                </c:pt>
                <c:pt idx="15">
                  <c:v>782.05758959076229</c:v>
                </c:pt>
                <c:pt idx="16">
                  <c:v>818.43735281789145</c:v>
                </c:pt>
                <c:pt idx="17">
                  <c:v>845.25313733393409</c:v>
                </c:pt>
                <c:pt idx="18">
                  <c:v>847.65940108157235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5-40C0-8078-53A5E5598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129968"/>
        <c:axId val="1729131280"/>
      </c:lineChart>
      <c:catAx>
        <c:axId val="172912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131280"/>
        <c:crosses val="autoZero"/>
        <c:auto val="1"/>
        <c:lblAlgn val="ctr"/>
        <c:lblOffset val="100"/>
        <c:noMultiLvlLbl val="0"/>
      </c:catAx>
      <c:valAx>
        <c:axId val="1729131280"/>
        <c:scaling>
          <c:orientation val="minMax"/>
        </c:scaling>
        <c:delete val="0"/>
        <c:axPos val="l"/>
        <c:numFmt formatCode="&quot;£&quot;#,##0.0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12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chemeClr val="tx1"/>
                </a:solidFill>
                <a:effectLst/>
              </a:rPr>
              <a:t>Technical Investment Profile vs. Initial 30YP - Annual Spend</a:t>
            </a:r>
            <a:endParaRPr lang="en-GB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27965951748781342"/>
          <c:y val="1.8414354636512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467289272059897E-2"/>
          <c:y val="0.22708940080043591"/>
          <c:w val="0.93404809986558246"/>
          <c:h val="0.6304858026962008"/>
        </c:manualLayout>
      </c:layout>
      <c:lineChart>
        <c:grouping val="standard"/>
        <c:varyColors val="0"/>
        <c:ser>
          <c:idx val="0"/>
          <c:order val="0"/>
          <c:tx>
            <c:strRef>
              <c:f>'Estimated Expenditure'!$A$36</c:f>
              <c:strCache>
                <c:ptCount val="1"/>
                <c:pt idx="0">
                  <c:v>Investment Profile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'Estimated Expenditure'!$B$72:$AE$72</c:f>
              <c:strCache>
                <c:ptCount val="30"/>
                <c:pt idx="0">
                  <c:v>2020-2021</c:v>
                </c:pt>
                <c:pt idx="1">
                  <c:v>2021-2022</c:v>
                </c:pt>
                <c:pt idx="2">
                  <c:v>2022-2023</c:v>
                </c:pt>
                <c:pt idx="3">
                  <c:v>2023-2024</c:v>
                </c:pt>
                <c:pt idx="4">
                  <c:v>2024-2025</c:v>
                </c:pt>
                <c:pt idx="5">
                  <c:v>2025-2026</c:v>
                </c:pt>
                <c:pt idx="6">
                  <c:v>2026-2027</c:v>
                </c:pt>
                <c:pt idx="7">
                  <c:v>2027-2028</c:v>
                </c:pt>
                <c:pt idx="8">
                  <c:v>2028-2029</c:v>
                </c:pt>
                <c:pt idx="9">
                  <c:v>2029-2030</c:v>
                </c:pt>
                <c:pt idx="10">
                  <c:v>2030-2031</c:v>
                </c:pt>
                <c:pt idx="11">
                  <c:v>2031-2032</c:v>
                </c:pt>
                <c:pt idx="12">
                  <c:v>2032-2033</c:v>
                </c:pt>
                <c:pt idx="13">
                  <c:v>2033-2034</c:v>
                </c:pt>
                <c:pt idx="14">
                  <c:v>2034-2035</c:v>
                </c:pt>
                <c:pt idx="15">
                  <c:v>2035-2036</c:v>
                </c:pt>
                <c:pt idx="16">
                  <c:v>2036-2037</c:v>
                </c:pt>
                <c:pt idx="17">
                  <c:v>2037-2038</c:v>
                </c:pt>
                <c:pt idx="18">
                  <c:v>2038-2039</c:v>
                </c:pt>
                <c:pt idx="19">
                  <c:v>2039-2040</c:v>
                </c:pt>
                <c:pt idx="20">
                  <c:v>2040-2041</c:v>
                </c:pt>
                <c:pt idx="21">
                  <c:v>2041-2042</c:v>
                </c:pt>
                <c:pt idx="22">
                  <c:v>2042-2043</c:v>
                </c:pt>
                <c:pt idx="23">
                  <c:v>2043-2044</c:v>
                </c:pt>
                <c:pt idx="24">
                  <c:v>2044-2045</c:v>
                </c:pt>
                <c:pt idx="25">
                  <c:v>2045-2046</c:v>
                </c:pt>
                <c:pt idx="26">
                  <c:v>2046-2047</c:v>
                </c:pt>
                <c:pt idx="27">
                  <c:v>2047-2048</c:v>
                </c:pt>
                <c:pt idx="28">
                  <c:v>2048-2049</c:v>
                </c:pt>
                <c:pt idx="29">
                  <c:v>2049-2050</c:v>
                </c:pt>
              </c:strCache>
            </c:strRef>
          </c:cat>
          <c:val>
            <c:numRef>
              <c:f>'Estimated Expenditure'!$B$36:$AE$36</c:f>
              <c:numCache>
                <c:formatCode>_("£"* #,##0.00_);_("£"* \(#,##0.00\);_("£"* "-"??_);_(@_)</c:formatCode>
                <c:ptCount val="30"/>
                <c:pt idx="0">
                  <c:v>105.14843044047463</c:v>
                </c:pt>
                <c:pt idx="1">
                  <c:v>78.647614754756361</c:v>
                </c:pt>
                <c:pt idx="2">
                  <c:v>68.293183323743548</c:v>
                </c:pt>
                <c:pt idx="3">
                  <c:v>61.625517667621949</c:v>
                </c:pt>
                <c:pt idx="4">
                  <c:v>68.96079312806836</c:v>
                </c:pt>
                <c:pt idx="5">
                  <c:v>48.25977739626974</c:v>
                </c:pt>
                <c:pt idx="6">
                  <c:v>60.213648474532498</c:v>
                </c:pt>
                <c:pt idx="7">
                  <c:v>61.799945060070506</c:v>
                </c:pt>
                <c:pt idx="8">
                  <c:v>84.170713133028983</c:v>
                </c:pt>
                <c:pt idx="9">
                  <c:v>49.455297086849342</c:v>
                </c:pt>
                <c:pt idx="10">
                  <c:v>58.790962377145441</c:v>
                </c:pt>
                <c:pt idx="11">
                  <c:v>58.36972586392865</c:v>
                </c:pt>
                <c:pt idx="12">
                  <c:v>55.422839902403041</c:v>
                </c:pt>
                <c:pt idx="13">
                  <c:v>74.431026849600755</c:v>
                </c:pt>
                <c:pt idx="14">
                  <c:v>69.687773532314893</c:v>
                </c:pt>
                <c:pt idx="15">
                  <c:v>50.01737144858145</c:v>
                </c:pt>
                <c:pt idx="16">
                  <c:v>55.592501634766087</c:v>
                </c:pt>
                <c:pt idx="17">
                  <c:v>51.904195180990207</c:v>
                </c:pt>
                <c:pt idx="18">
                  <c:v>59.966572967381161</c:v>
                </c:pt>
                <c:pt idx="19">
                  <c:v>35.874858907703505</c:v>
                </c:pt>
                <c:pt idx="20">
                  <c:v>55.885130725334015</c:v>
                </c:pt>
                <c:pt idx="21">
                  <c:v>49.450385644982745</c:v>
                </c:pt>
                <c:pt idx="22">
                  <c:v>56.079983462424742</c:v>
                </c:pt>
                <c:pt idx="23">
                  <c:v>69.996462939729398</c:v>
                </c:pt>
                <c:pt idx="24">
                  <c:v>60.544440635468632</c:v>
                </c:pt>
                <c:pt idx="25">
                  <c:v>61.419395754595953</c:v>
                </c:pt>
                <c:pt idx="26">
                  <c:v>61.415316297136563</c:v>
                </c:pt>
                <c:pt idx="27">
                  <c:v>48.051210143190175</c:v>
                </c:pt>
                <c:pt idx="28">
                  <c:v>42.985986728582645</c:v>
                </c:pt>
                <c:pt idx="29">
                  <c:v>51.341323492160534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3C-4217-8070-05FF6A240525}"/>
            </c:ext>
          </c:extLst>
        </c:ser>
        <c:ser>
          <c:idx val="1"/>
          <c:order val="1"/>
          <c:tx>
            <c:strRef>
              <c:f>'Estimated Expenditure'!$A$38</c:f>
              <c:strCache>
                <c:ptCount val="1"/>
                <c:pt idx="0">
                  <c:v>Handback Expenditure Test - Target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9"/>
              <c:layout>
                <c:manualLayout>
                  <c:x val="-2.6560908703760554E-2"/>
                  <c:y val="-2.6315759179721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7D4-4A4F-8DF1-FA62673DD128}"/>
                </c:ext>
              </c:extLst>
            </c:dLbl>
            <c:numFmt formatCode="&quot;£&quot;#,##0.0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'Estimated Expenditure'!$B$72:$AE$72</c:f>
              <c:strCache>
                <c:ptCount val="30"/>
                <c:pt idx="0">
                  <c:v>2020-2021</c:v>
                </c:pt>
                <c:pt idx="1">
                  <c:v>2021-2022</c:v>
                </c:pt>
                <c:pt idx="2">
                  <c:v>2022-2023</c:v>
                </c:pt>
                <c:pt idx="3">
                  <c:v>2023-2024</c:v>
                </c:pt>
                <c:pt idx="4">
                  <c:v>2024-2025</c:v>
                </c:pt>
                <c:pt idx="5">
                  <c:v>2025-2026</c:v>
                </c:pt>
                <c:pt idx="6">
                  <c:v>2026-2027</c:v>
                </c:pt>
                <c:pt idx="7">
                  <c:v>2027-2028</c:v>
                </c:pt>
                <c:pt idx="8">
                  <c:v>2028-2029</c:v>
                </c:pt>
                <c:pt idx="9">
                  <c:v>2029-2030</c:v>
                </c:pt>
                <c:pt idx="10">
                  <c:v>2030-2031</c:v>
                </c:pt>
                <c:pt idx="11">
                  <c:v>2031-2032</c:v>
                </c:pt>
                <c:pt idx="12">
                  <c:v>2032-2033</c:v>
                </c:pt>
                <c:pt idx="13">
                  <c:v>2033-2034</c:v>
                </c:pt>
                <c:pt idx="14">
                  <c:v>2034-2035</c:v>
                </c:pt>
                <c:pt idx="15">
                  <c:v>2035-2036</c:v>
                </c:pt>
                <c:pt idx="16">
                  <c:v>2036-2037</c:v>
                </c:pt>
                <c:pt idx="17">
                  <c:v>2037-2038</c:v>
                </c:pt>
                <c:pt idx="18">
                  <c:v>2038-2039</c:v>
                </c:pt>
                <c:pt idx="19">
                  <c:v>2039-2040</c:v>
                </c:pt>
                <c:pt idx="20">
                  <c:v>2040-2041</c:v>
                </c:pt>
                <c:pt idx="21">
                  <c:v>2041-2042</c:v>
                </c:pt>
                <c:pt idx="22">
                  <c:v>2042-2043</c:v>
                </c:pt>
                <c:pt idx="23">
                  <c:v>2043-2044</c:v>
                </c:pt>
                <c:pt idx="24">
                  <c:v>2044-2045</c:v>
                </c:pt>
                <c:pt idx="25">
                  <c:v>2045-2046</c:v>
                </c:pt>
                <c:pt idx="26">
                  <c:v>2046-2047</c:v>
                </c:pt>
                <c:pt idx="27">
                  <c:v>2047-2048</c:v>
                </c:pt>
                <c:pt idx="28">
                  <c:v>2048-2049</c:v>
                </c:pt>
                <c:pt idx="29">
                  <c:v>2049-2050</c:v>
                </c:pt>
              </c:strCache>
            </c:strRef>
          </c:cat>
          <c:val>
            <c:numRef>
              <c:f>'Estimated Expenditure'!$B$38:$AE$38</c:f>
              <c:numCache>
                <c:formatCode>_("£"* #,##0.00_);_("£"* \(#,##0.00\);_("£"* "-"??_);_(@_)</c:formatCode>
                <c:ptCount val="30"/>
                <c:pt idx="0">
                  <c:v>0</c:v>
                </c:pt>
                <c:pt idx="4">
                  <c:v>60.469542935728732</c:v>
                </c:pt>
                <c:pt idx="5">
                  <c:v>60.469542935728732</c:v>
                </c:pt>
                <c:pt idx="6">
                  <c:v>60.469542935728732</c:v>
                </c:pt>
                <c:pt idx="7">
                  <c:v>60.469542935728732</c:v>
                </c:pt>
                <c:pt idx="8">
                  <c:v>60.469542935728732</c:v>
                </c:pt>
                <c:pt idx="9">
                  <c:v>60.469542935728732</c:v>
                </c:pt>
                <c:pt idx="10">
                  <c:v>60.469542935728732</c:v>
                </c:pt>
                <c:pt idx="11">
                  <c:v>60.469542935728732</c:v>
                </c:pt>
                <c:pt idx="12">
                  <c:v>60.469542935728732</c:v>
                </c:pt>
                <c:pt idx="13">
                  <c:v>60.469542935728732</c:v>
                </c:pt>
                <c:pt idx="14">
                  <c:v>60.469542935728732</c:v>
                </c:pt>
                <c:pt idx="15">
                  <c:v>60.469542935728732</c:v>
                </c:pt>
                <c:pt idx="16">
                  <c:v>60.469542935728732</c:v>
                </c:pt>
                <c:pt idx="17">
                  <c:v>60.469542935728732</c:v>
                </c:pt>
                <c:pt idx="18">
                  <c:v>60.469542935728732</c:v>
                </c:pt>
                <c:pt idx="19">
                  <c:v>60.469542935728732</c:v>
                </c:pt>
                <c:pt idx="20">
                  <c:v>60.469542935728732</c:v>
                </c:pt>
                <c:pt idx="21">
                  <c:v>60.469542935728732</c:v>
                </c:pt>
                <c:pt idx="22">
                  <c:v>60.469542935728732</c:v>
                </c:pt>
                <c:pt idx="23">
                  <c:v>60.469542935728732</c:v>
                </c:pt>
                <c:pt idx="24">
                  <c:v>60.469542935728732</c:v>
                </c:pt>
                <c:pt idx="25">
                  <c:v>60.469542935728732</c:v>
                </c:pt>
                <c:pt idx="26">
                  <c:v>60.469542935728732</c:v>
                </c:pt>
                <c:pt idx="27">
                  <c:v>60.469542935728732</c:v>
                </c:pt>
                <c:pt idx="28">
                  <c:v>60.469542935728732</c:v>
                </c:pt>
                <c:pt idx="29">
                  <c:v>60.469542935728732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3C-4217-8070-05FF6A240525}"/>
            </c:ext>
          </c:extLst>
        </c:ser>
        <c:ser>
          <c:idx val="2"/>
          <c:order val="2"/>
          <c:tx>
            <c:strRef>
              <c:f>'Estimated Expenditure'!$A$39</c:f>
              <c:strCache>
                <c:ptCount val="1"/>
                <c:pt idx="0">
                  <c:v>Handback Expenditure Test - Tolerance 25%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29"/>
              <c:layout>
                <c:manualLayout>
                  <c:x val="-2.6560908703760554E-2"/>
                  <c:y val="-3.50876789062959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7D4-4A4F-8DF1-FA62673DD128}"/>
                </c:ext>
              </c:extLst>
            </c:dLbl>
            <c:numFmt formatCode="&quot;£&quot;#,##0.0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'Estimated Expenditure'!$B$72:$AE$72</c:f>
              <c:strCache>
                <c:ptCount val="30"/>
                <c:pt idx="0">
                  <c:v>2020-2021</c:v>
                </c:pt>
                <c:pt idx="1">
                  <c:v>2021-2022</c:v>
                </c:pt>
                <c:pt idx="2">
                  <c:v>2022-2023</c:v>
                </c:pt>
                <c:pt idx="3">
                  <c:v>2023-2024</c:v>
                </c:pt>
                <c:pt idx="4">
                  <c:v>2024-2025</c:v>
                </c:pt>
                <c:pt idx="5">
                  <c:v>2025-2026</c:v>
                </c:pt>
                <c:pt idx="6">
                  <c:v>2026-2027</c:v>
                </c:pt>
                <c:pt idx="7">
                  <c:v>2027-2028</c:v>
                </c:pt>
                <c:pt idx="8">
                  <c:v>2028-2029</c:v>
                </c:pt>
                <c:pt idx="9">
                  <c:v>2029-2030</c:v>
                </c:pt>
                <c:pt idx="10">
                  <c:v>2030-2031</c:v>
                </c:pt>
                <c:pt idx="11">
                  <c:v>2031-2032</c:v>
                </c:pt>
                <c:pt idx="12">
                  <c:v>2032-2033</c:v>
                </c:pt>
                <c:pt idx="13">
                  <c:v>2033-2034</c:v>
                </c:pt>
                <c:pt idx="14">
                  <c:v>2034-2035</c:v>
                </c:pt>
                <c:pt idx="15">
                  <c:v>2035-2036</c:v>
                </c:pt>
                <c:pt idx="16">
                  <c:v>2036-2037</c:v>
                </c:pt>
                <c:pt idx="17">
                  <c:v>2037-2038</c:v>
                </c:pt>
                <c:pt idx="18">
                  <c:v>2038-2039</c:v>
                </c:pt>
                <c:pt idx="19">
                  <c:v>2039-2040</c:v>
                </c:pt>
                <c:pt idx="20">
                  <c:v>2040-2041</c:v>
                </c:pt>
                <c:pt idx="21">
                  <c:v>2041-2042</c:v>
                </c:pt>
                <c:pt idx="22">
                  <c:v>2042-2043</c:v>
                </c:pt>
                <c:pt idx="23">
                  <c:v>2043-2044</c:v>
                </c:pt>
                <c:pt idx="24">
                  <c:v>2044-2045</c:v>
                </c:pt>
                <c:pt idx="25">
                  <c:v>2045-2046</c:v>
                </c:pt>
                <c:pt idx="26">
                  <c:v>2046-2047</c:v>
                </c:pt>
                <c:pt idx="27">
                  <c:v>2047-2048</c:v>
                </c:pt>
                <c:pt idx="28">
                  <c:v>2048-2049</c:v>
                </c:pt>
                <c:pt idx="29">
                  <c:v>2049-2050</c:v>
                </c:pt>
              </c:strCache>
            </c:strRef>
          </c:cat>
          <c:val>
            <c:numRef>
              <c:f>'Estimated Expenditure'!$B$39:$AE$39</c:f>
              <c:numCache>
                <c:formatCode>_("£"* #,##0.00_);_("£"* \(#,##0.00\);_("£"* "-"??_);_(@_)</c:formatCode>
                <c:ptCount val="30"/>
                <c:pt idx="0">
                  <c:v>0</c:v>
                </c:pt>
                <c:pt idx="19">
                  <c:v>75.586928669660921</c:v>
                </c:pt>
                <c:pt idx="20">
                  <c:v>75.586928669660921</c:v>
                </c:pt>
                <c:pt idx="21">
                  <c:v>75.586928669660921</c:v>
                </c:pt>
                <c:pt idx="22">
                  <c:v>75.586928669660921</c:v>
                </c:pt>
                <c:pt idx="23">
                  <c:v>75.586928669660921</c:v>
                </c:pt>
                <c:pt idx="24">
                  <c:v>75.586928669660921</c:v>
                </c:pt>
                <c:pt idx="25">
                  <c:v>75.586928669660921</c:v>
                </c:pt>
                <c:pt idx="26">
                  <c:v>75.586928669660921</c:v>
                </c:pt>
                <c:pt idx="27">
                  <c:v>75.586928669660921</c:v>
                </c:pt>
                <c:pt idx="28">
                  <c:v>75.586928669660921</c:v>
                </c:pt>
                <c:pt idx="29">
                  <c:v>75.586928669660921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3C-4217-8070-05FF6A240525}"/>
            </c:ext>
          </c:extLst>
        </c:ser>
        <c:ser>
          <c:idx val="3"/>
          <c:order val="3"/>
          <c:tx>
            <c:strRef>
              <c:f>'Estimated Expenditure'!$A$40</c:f>
              <c:strCache>
                <c:ptCount val="1"/>
                <c:pt idx="0">
                  <c:v>Handback Expenditure Test - Average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29"/>
              <c:layout>
                <c:manualLayout>
                  <c:x val="-4.2054772114287549E-2"/>
                  <c:y val="2.0467812695339257E-2"/>
                </c:manualLayout>
              </c:layout>
              <c:numFmt formatCode="&quot;£&quot;#,##0.0&quot;m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7D4-4A4F-8DF1-FA62673DD1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'Estimated Expenditure'!$B$72:$AE$72</c:f>
              <c:strCache>
                <c:ptCount val="30"/>
                <c:pt idx="0">
                  <c:v>2020-2021</c:v>
                </c:pt>
                <c:pt idx="1">
                  <c:v>2021-2022</c:v>
                </c:pt>
                <c:pt idx="2">
                  <c:v>2022-2023</c:v>
                </c:pt>
                <c:pt idx="3">
                  <c:v>2023-2024</c:v>
                </c:pt>
                <c:pt idx="4">
                  <c:v>2024-2025</c:v>
                </c:pt>
                <c:pt idx="5">
                  <c:v>2025-2026</c:v>
                </c:pt>
                <c:pt idx="6">
                  <c:v>2026-2027</c:v>
                </c:pt>
                <c:pt idx="7">
                  <c:v>2027-2028</c:v>
                </c:pt>
                <c:pt idx="8">
                  <c:v>2028-2029</c:v>
                </c:pt>
                <c:pt idx="9">
                  <c:v>2029-2030</c:v>
                </c:pt>
                <c:pt idx="10">
                  <c:v>2030-2031</c:v>
                </c:pt>
                <c:pt idx="11">
                  <c:v>2031-2032</c:v>
                </c:pt>
                <c:pt idx="12">
                  <c:v>2032-2033</c:v>
                </c:pt>
                <c:pt idx="13">
                  <c:v>2033-2034</c:v>
                </c:pt>
                <c:pt idx="14">
                  <c:v>2034-2035</c:v>
                </c:pt>
                <c:pt idx="15">
                  <c:v>2035-2036</c:v>
                </c:pt>
                <c:pt idx="16">
                  <c:v>2036-2037</c:v>
                </c:pt>
                <c:pt idx="17">
                  <c:v>2037-2038</c:v>
                </c:pt>
                <c:pt idx="18">
                  <c:v>2038-2039</c:v>
                </c:pt>
                <c:pt idx="19">
                  <c:v>2039-2040</c:v>
                </c:pt>
                <c:pt idx="20">
                  <c:v>2040-2041</c:v>
                </c:pt>
                <c:pt idx="21">
                  <c:v>2041-2042</c:v>
                </c:pt>
                <c:pt idx="22">
                  <c:v>2042-2043</c:v>
                </c:pt>
                <c:pt idx="23">
                  <c:v>2043-2044</c:v>
                </c:pt>
                <c:pt idx="24">
                  <c:v>2044-2045</c:v>
                </c:pt>
                <c:pt idx="25">
                  <c:v>2045-2046</c:v>
                </c:pt>
                <c:pt idx="26">
                  <c:v>2046-2047</c:v>
                </c:pt>
                <c:pt idx="27">
                  <c:v>2047-2048</c:v>
                </c:pt>
                <c:pt idx="28">
                  <c:v>2048-2049</c:v>
                </c:pt>
                <c:pt idx="29">
                  <c:v>2049-2050</c:v>
                </c:pt>
              </c:strCache>
            </c:strRef>
          </c:cat>
          <c:val>
            <c:numRef>
              <c:f>'Estimated Expenditure'!$B$40:$AE$40</c:f>
              <c:numCache>
                <c:formatCode>_("£"* #,##0.00_);_("£"* \(#,##0.00\);_("£"* "-"??_);_(@_)</c:formatCode>
                <c:ptCount val="30"/>
                <c:pt idx="0">
                  <c:v>0</c:v>
                </c:pt>
                <c:pt idx="19">
                  <c:v>53.913135884664442</c:v>
                </c:pt>
                <c:pt idx="20">
                  <c:v>53.913135884664442</c:v>
                </c:pt>
                <c:pt idx="21">
                  <c:v>53.913135884664442</c:v>
                </c:pt>
                <c:pt idx="22">
                  <c:v>53.913135884664442</c:v>
                </c:pt>
                <c:pt idx="23">
                  <c:v>53.913135884664442</c:v>
                </c:pt>
                <c:pt idx="24">
                  <c:v>53.913135884664442</c:v>
                </c:pt>
                <c:pt idx="25">
                  <c:v>53.913135884664442</c:v>
                </c:pt>
                <c:pt idx="26">
                  <c:v>53.913135884664442</c:v>
                </c:pt>
                <c:pt idx="27">
                  <c:v>53.913135884664442</c:v>
                </c:pt>
                <c:pt idx="28">
                  <c:v>53.913135884664442</c:v>
                </c:pt>
                <c:pt idx="29">
                  <c:v>53.913135884664442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3C-4217-8070-05FF6A240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717720"/>
        <c:axId val="710714440"/>
      </c:lineChart>
      <c:catAx>
        <c:axId val="71071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14440"/>
        <c:crosses val="autoZero"/>
        <c:auto val="1"/>
        <c:lblAlgn val="ctr"/>
        <c:lblOffset val="100"/>
        <c:noMultiLvlLbl val="0"/>
      </c:catAx>
      <c:valAx>
        <c:axId val="710714440"/>
        <c:scaling>
          <c:orientation val="minMax"/>
        </c:scaling>
        <c:delete val="0"/>
        <c:axPos val="l"/>
        <c:numFmt formatCode="&quot;£&quot;#,##0.0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1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chemeClr val="tx1"/>
                </a:solidFill>
              </a:rPr>
              <a:t>5-Year</a:t>
            </a:r>
            <a:r>
              <a:rPr lang="en-GB" sz="1800" b="1" baseline="0">
                <a:solidFill>
                  <a:schemeClr val="tx1"/>
                </a:solidFill>
              </a:rPr>
              <a:t> AMFP 2020-2025 (£ 381m)</a:t>
            </a:r>
            <a:endParaRPr lang="en-GB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'Estimated Expenditure'!$A$82</c:f>
              <c:strCache>
                <c:ptCount val="1"/>
                <c:pt idx="0">
                  <c:v>Pavement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'Estimated Expenditure'!$B$80:$F$81</c15:sqref>
                  </c15:fullRef>
                  <c15:levelRef>
                    <c15:sqref>'Estimated Expenditure'!$B$80:$F$80</c15:sqref>
                  </c15:levelRef>
                </c:ext>
              </c:extLst>
              <c:f>'Estimated Expenditure'!$B$80:$F$80</c:f>
              <c:strCache>
                <c:ptCount val="5"/>
                <c:pt idx="0">
                  <c:v>2020-2021</c:v>
                </c:pt>
                <c:pt idx="1">
                  <c:v>2021-2022</c:v>
                </c:pt>
                <c:pt idx="2">
                  <c:v>2022-2023</c:v>
                </c:pt>
                <c:pt idx="3">
                  <c:v>2023-2024</c:v>
                </c:pt>
                <c:pt idx="4">
                  <c:v>2024-2025</c:v>
                </c:pt>
              </c:strCache>
            </c:strRef>
          </c:cat>
          <c:val>
            <c:numRef>
              <c:f>'Estimated Expenditure'!$B$82:$F$82</c:f>
              <c:numCache>
                <c:formatCode>_("£"* #,##0.00_);_("£"* \(#,##0.00\);_("£"* "-"??_);_(@_)</c:formatCode>
                <c:ptCount val="5"/>
                <c:pt idx="0">
                  <c:v>28.918894999999999</c:v>
                </c:pt>
                <c:pt idx="1">
                  <c:v>22.798638</c:v>
                </c:pt>
                <c:pt idx="2">
                  <c:v>23.220200999999999</c:v>
                </c:pt>
                <c:pt idx="3">
                  <c:v>24.412120000000002</c:v>
                </c:pt>
                <c:pt idx="4">
                  <c:v>28.760155999999998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E-4B59-A8D5-5BA9B176B616}"/>
            </c:ext>
          </c:extLst>
        </c:ser>
        <c:ser>
          <c:idx val="1"/>
          <c:order val="1"/>
          <c:tx>
            <c:strRef>
              <c:f>'Estimated Expenditure'!$A$83</c:f>
              <c:strCache>
                <c:ptCount val="1"/>
                <c:pt idx="0">
                  <c:v>Structures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'Estimated Expenditure'!$B$80:$F$81</c15:sqref>
                  </c15:fullRef>
                  <c15:levelRef>
                    <c15:sqref>'Estimated Expenditure'!$B$80:$F$80</c15:sqref>
                  </c15:levelRef>
                </c:ext>
              </c:extLst>
              <c:f>'Estimated Expenditure'!$B$80:$F$80</c:f>
              <c:strCache>
                <c:ptCount val="5"/>
                <c:pt idx="0">
                  <c:v>2020-2021</c:v>
                </c:pt>
                <c:pt idx="1">
                  <c:v>2021-2022</c:v>
                </c:pt>
                <c:pt idx="2">
                  <c:v>2022-2023</c:v>
                </c:pt>
                <c:pt idx="3">
                  <c:v>2023-2024</c:v>
                </c:pt>
                <c:pt idx="4">
                  <c:v>2024-2025</c:v>
                </c:pt>
              </c:strCache>
            </c:strRef>
          </c:cat>
          <c:val>
            <c:numRef>
              <c:f>'Estimated Expenditure'!$B$83:$F$83</c:f>
              <c:numCache>
                <c:formatCode>_("£"* #,##0.00_);_("£"* \(#,##0.00\);_("£"* "-"??_);_(@_)</c:formatCode>
                <c:ptCount val="5"/>
                <c:pt idx="0">
                  <c:v>38.508848929999999</c:v>
                </c:pt>
                <c:pt idx="1">
                  <c:v>27.203706780000001</c:v>
                </c:pt>
                <c:pt idx="2">
                  <c:v>19.425628789999998</c:v>
                </c:pt>
                <c:pt idx="3">
                  <c:v>13.9068319</c:v>
                </c:pt>
                <c:pt idx="4">
                  <c:v>19.240153840000001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8E-4B59-A8D5-5BA9B176B616}"/>
            </c:ext>
          </c:extLst>
        </c:ser>
        <c:ser>
          <c:idx val="2"/>
          <c:order val="2"/>
          <c:tx>
            <c:strRef>
              <c:f>'Estimated Expenditure'!$A$84</c:f>
              <c:strCache>
                <c:ptCount val="1"/>
                <c:pt idx="0">
                  <c:v>Dartford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'Estimated Expenditure'!$B$80:$F$81</c15:sqref>
                  </c15:fullRef>
                  <c15:levelRef>
                    <c15:sqref>'Estimated Expenditure'!$B$80:$F$80</c15:sqref>
                  </c15:levelRef>
                </c:ext>
              </c:extLst>
              <c:f>'Estimated Expenditure'!$B$80:$F$80</c:f>
              <c:strCache>
                <c:ptCount val="5"/>
                <c:pt idx="0">
                  <c:v>2020-2021</c:v>
                </c:pt>
                <c:pt idx="1">
                  <c:v>2021-2022</c:v>
                </c:pt>
                <c:pt idx="2">
                  <c:v>2022-2023</c:v>
                </c:pt>
                <c:pt idx="3">
                  <c:v>2023-2024</c:v>
                </c:pt>
                <c:pt idx="4">
                  <c:v>2024-2025</c:v>
                </c:pt>
              </c:strCache>
            </c:strRef>
          </c:cat>
          <c:val>
            <c:numRef>
              <c:f>'Estimated Expenditure'!$B$84:$F$84</c:f>
              <c:numCache>
                <c:formatCode>_("£"* #,##0.00_);_("£"* \(#,##0.00\);_("£"* "-"??_);_(@_)</c:formatCode>
                <c:ptCount val="5"/>
                <c:pt idx="0">
                  <c:v>4.3127019999999998</c:v>
                </c:pt>
                <c:pt idx="1">
                  <c:v>3.1982050000000002</c:v>
                </c:pt>
                <c:pt idx="2">
                  <c:v>3.3266719999999999</c:v>
                </c:pt>
                <c:pt idx="3">
                  <c:v>3.2544279999999999</c:v>
                </c:pt>
                <c:pt idx="4">
                  <c:v>1.5423439999999999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8E-4B59-A8D5-5BA9B176B616}"/>
            </c:ext>
          </c:extLst>
        </c:ser>
        <c:ser>
          <c:idx val="3"/>
          <c:order val="3"/>
          <c:tx>
            <c:strRef>
              <c:f>'Estimated Expenditure'!$A$85</c:f>
              <c:strCache>
                <c:ptCount val="1"/>
                <c:pt idx="0">
                  <c:v>Geotechnical, Drainage &amp; CRB</c:v>
                </c:pt>
              </c:strCache>
            </c:strRef>
          </c:tx>
          <c:spPr>
            <a:solidFill>
              <a:srgbClr val="FFDE7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'Estimated Expenditure'!$B$80:$F$81</c15:sqref>
                  </c15:fullRef>
                  <c15:levelRef>
                    <c15:sqref>'Estimated Expenditure'!$B$80:$F$80</c15:sqref>
                  </c15:levelRef>
                </c:ext>
              </c:extLst>
              <c:f>'Estimated Expenditure'!$B$80:$F$80</c:f>
              <c:strCache>
                <c:ptCount val="5"/>
                <c:pt idx="0">
                  <c:v>2020-2021</c:v>
                </c:pt>
                <c:pt idx="1">
                  <c:v>2021-2022</c:v>
                </c:pt>
                <c:pt idx="2">
                  <c:v>2022-2023</c:v>
                </c:pt>
                <c:pt idx="3">
                  <c:v>2023-2024</c:v>
                </c:pt>
                <c:pt idx="4">
                  <c:v>2024-2025</c:v>
                </c:pt>
              </c:strCache>
            </c:strRef>
          </c:cat>
          <c:val>
            <c:numRef>
              <c:f>'Estimated Expenditure'!$B$85:$F$85</c:f>
              <c:numCache>
                <c:formatCode>_("£"* #,##0.00_);_("£"* \(#,##0.00\);_("£"* "-"??_);_(@_)</c:formatCode>
                <c:ptCount val="5"/>
                <c:pt idx="0">
                  <c:v>4.6429181442009728</c:v>
                </c:pt>
                <c:pt idx="1">
                  <c:v>3.9255189329563636</c:v>
                </c:pt>
                <c:pt idx="2">
                  <c:v>3.6324372581435624</c:v>
                </c:pt>
                <c:pt idx="3">
                  <c:v>2.3250505970219622</c:v>
                </c:pt>
                <c:pt idx="4">
                  <c:v>2.2506883795683619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8E-4B59-A8D5-5BA9B176B616}"/>
            </c:ext>
          </c:extLst>
        </c:ser>
        <c:ser>
          <c:idx val="4"/>
          <c:order val="4"/>
          <c:tx>
            <c:strRef>
              <c:f>'Estimated Expenditure'!$A$86</c:f>
              <c:strCache>
                <c:ptCount val="1"/>
                <c:pt idx="0">
                  <c:v>Other Assets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'Estimated Expenditure'!$B$80:$F$81</c15:sqref>
                  </c15:fullRef>
                  <c15:levelRef>
                    <c15:sqref>'Estimated Expenditure'!$B$80:$F$80</c15:sqref>
                  </c15:levelRef>
                </c:ext>
              </c:extLst>
              <c:f>'Estimated Expenditure'!$B$80:$F$80</c:f>
              <c:strCache>
                <c:ptCount val="5"/>
                <c:pt idx="0">
                  <c:v>2020-2021</c:v>
                </c:pt>
                <c:pt idx="1">
                  <c:v>2021-2022</c:v>
                </c:pt>
                <c:pt idx="2">
                  <c:v>2022-2023</c:v>
                </c:pt>
                <c:pt idx="3">
                  <c:v>2023-2024</c:v>
                </c:pt>
                <c:pt idx="4">
                  <c:v>2024-2025</c:v>
                </c:pt>
              </c:strCache>
            </c:strRef>
          </c:cat>
          <c:val>
            <c:numRef>
              <c:f>'Estimated Expenditure'!$B$86:$F$86</c:f>
              <c:numCache>
                <c:formatCode>_("£"* #,##0.00_);_("£"* \(#,##0.00\);_("£"* "-"??_);_(@_)</c:formatCode>
                <c:ptCount val="5"/>
                <c:pt idx="0">
                  <c:v>22.565712296273663</c:v>
                </c:pt>
                <c:pt idx="1">
                  <c:v>21.7655460418</c:v>
                </c:pt>
                <c:pt idx="2">
                  <c:v>18.912244275600003</c:v>
                </c:pt>
                <c:pt idx="3">
                  <c:v>17.951087170599997</c:v>
                </c:pt>
                <c:pt idx="4">
                  <c:v>20.586450908499998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8E-4B59-A8D5-5BA9B176B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5152552"/>
        <c:axId val="575151896"/>
      </c:barChart>
      <c:catAx>
        <c:axId val="57515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51896"/>
        <c:crosses val="autoZero"/>
        <c:auto val="1"/>
        <c:lblAlgn val="ctr"/>
        <c:lblOffset val="100"/>
        <c:noMultiLvlLbl val="0"/>
      </c:catAx>
      <c:valAx>
        <c:axId val="575151896"/>
        <c:scaling>
          <c:orientation val="minMax"/>
        </c:scaling>
        <c:delete val="0"/>
        <c:axPos val="l"/>
        <c:numFmt formatCode="&quot;£&quot;#,##0.0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5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AMFP 2020-2021 (£ 99m excl.</a:t>
            </a:r>
            <a:r>
              <a:rPr lang="en-US" sz="1800" b="1" baseline="0">
                <a:solidFill>
                  <a:schemeClr val="tx1"/>
                </a:solidFill>
              </a:rPr>
              <a:t> carry-over</a:t>
            </a:r>
            <a:r>
              <a:rPr lang="en-US" sz="1800" b="1">
                <a:solidFill>
                  <a:schemeClr val="tx1"/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'Estimated Expenditure'!$B$81</c:f>
              <c:strCache>
                <c:ptCount val="1"/>
                <c:pt idx="0">
                  <c:v>Year12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88-4003-AC0B-197BF404AE49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688-4003-AC0B-197BF404AE49}"/>
              </c:ext>
            </c:extLst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88-4003-AC0B-197BF404AE49}"/>
              </c:ext>
            </c:extLst>
          </c:dPt>
          <c:dPt>
            <c:idx val="3"/>
            <c:bubble3D val="0"/>
            <c:spPr>
              <a:solidFill>
                <a:srgbClr val="FFDE75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688-4003-AC0B-197BF404AE49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88-4003-AC0B-197BF404AE49}"/>
              </c:ext>
            </c:extLst>
          </c:dPt>
          <c:dLbls>
            <c:numFmt formatCode="&quot;£&quot;#,##0.0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'Estimated Expenditure'!$A$82:$A$87</c15:sqref>
                  </c15:fullRef>
                </c:ext>
              </c:extLst>
              <c:f>'Estimated Expenditure'!$A$82:$A$86</c:f>
              <c:strCache>
                <c:ptCount val="5"/>
                <c:pt idx="0">
                  <c:v>Pavement</c:v>
                </c:pt>
                <c:pt idx="1">
                  <c:v>Structures</c:v>
                </c:pt>
                <c:pt idx="2">
                  <c:v>Dartford</c:v>
                </c:pt>
                <c:pt idx="3">
                  <c:v>Geotechnical, Drainage &amp; CRB</c:v>
                </c:pt>
                <c:pt idx="4">
                  <c:v>Other Assets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'Estimated Expenditure'!$B$82:$B$87</c15:sqref>
                  </c15:fullRef>
                </c:ext>
              </c:extLst>
              <c:f>'Estimated Expenditure'!$B$82:$B$86</c:f>
              <c:numCache>
                <c:formatCode>_("£"* #,##0.00_);_("£"* \(#,##0.00\);_("£"* "-"??_);_(@_)</c:formatCode>
                <c:ptCount val="5"/>
                <c:pt idx="0">
                  <c:v>28.918894999999999</c:v>
                </c:pt>
                <c:pt idx="1">
                  <c:v>38.508848929999999</c:v>
                </c:pt>
                <c:pt idx="2">
                  <c:v>4.3127019999999998</c:v>
                </c:pt>
                <c:pt idx="3">
                  <c:v>4.6429181442009728</c:v>
                </c:pt>
                <c:pt idx="4">
                  <c:v>22.565712296273663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'Estimated Expenditure'!$B$87</c15:sqref>
                  <c15:spPr xmlns:c15="http://schemas.microsoft.com/office/drawing/2012/chart">
                    <a:pattFill prst="wdUpDiag">
                      <a:fgClr>
                        <a:schemeClr val="tx1"/>
                      </a:fgClr>
                      <a:bgClr>
                        <a:schemeClr val="bg1"/>
                      </a:bgClr>
                    </a:pattFill>
                    <a:ln w="19050">
                      <a:solidFill>
                        <a:schemeClr val="tx1"/>
                      </a:solidFill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1688-4003-AC0B-197BF404A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9715712921269022E-2"/>
          <c:y val="8.8665248115290321E-2"/>
          <c:w val="0.90623081033942632"/>
          <c:h val="0.11590369168064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chemeClr val="tx1"/>
                </a:solidFill>
              </a:rPr>
              <a:t>2020-2050</a:t>
            </a:r>
            <a:r>
              <a:rPr lang="en-GB" sz="1800" b="1" baseline="0">
                <a:solidFill>
                  <a:schemeClr val="tx1"/>
                </a:solidFill>
              </a:rPr>
              <a:t> CP and CPS Investment Profiles</a:t>
            </a:r>
            <a:endParaRPr lang="en-GB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85168050170161E-2"/>
          <c:y val="0.21946580674387689"/>
          <c:w val="0.91383792653224583"/>
          <c:h val="0.6360249631929997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'Estimated Expenditure'!$A$31</c:f>
              <c:strCache>
                <c:ptCount val="1"/>
                <c:pt idx="0">
                  <c:v>Connect Plus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'Estimated Expenditure'!$B$31:$AE$31</c:f>
              <c:numCache>
                <c:formatCode>_("£"* #,##0.00_);_("£"* \(#,##0.00\);_("£"* "-"??_);_(@_)</c:formatCode>
                <c:ptCount val="30"/>
                <c:pt idx="0">
                  <c:v>83.615850074200978</c:v>
                </c:pt>
                <c:pt idx="1">
                  <c:v>57.126068712956361</c:v>
                </c:pt>
                <c:pt idx="2">
                  <c:v>49.604939048143557</c:v>
                </c:pt>
                <c:pt idx="3">
                  <c:v>43.898430497021948</c:v>
                </c:pt>
                <c:pt idx="4">
                  <c:v>51.793342219568366</c:v>
                </c:pt>
                <c:pt idx="5">
                  <c:v>32.011544546269739</c:v>
                </c:pt>
                <c:pt idx="6">
                  <c:v>47.719788521032498</c:v>
                </c:pt>
                <c:pt idx="7">
                  <c:v>48.105967185070504</c:v>
                </c:pt>
                <c:pt idx="8">
                  <c:v>70.137208743028978</c:v>
                </c:pt>
                <c:pt idx="9">
                  <c:v>36.219346009349337</c:v>
                </c:pt>
                <c:pt idx="10">
                  <c:v>44.95913039214544</c:v>
                </c:pt>
                <c:pt idx="11">
                  <c:v>40.791311265928655</c:v>
                </c:pt>
                <c:pt idx="12">
                  <c:v>39.962791918903044</c:v>
                </c:pt>
                <c:pt idx="13">
                  <c:v>61.241006919600757</c:v>
                </c:pt>
                <c:pt idx="14">
                  <c:v>49.388101667314899</c:v>
                </c:pt>
                <c:pt idx="15">
                  <c:v>31.734083013581447</c:v>
                </c:pt>
                <c:pt idx="16">
                  <c:v>36.239805695766087</c:v>
                </c:pt>
                <c:pt idx="17">
                  <c:v>32.578880476490212</c:v>
                </c:pt>
                <c:pt idx="18">
                  <c:v>44.567816083881169</c:v>
                </c:pt>
                <c:pt idx="19">
                  <c:v>28.495047407703506</c:v>
                </c:pt>
                <c:pt idx="20">
                  <c:v>46.579106225334016</c:v>
                </c:pt>
                <c:pt idx="21">
                  <c:v>37.46128364498275</c:v>
                </c:pt>
                <c:pt idx="22">
                  <c:v>43.599671462424737</c:v>
                </c:pt>
                <c:pt idx="23">
                  <c:v>48.529538439729393</c:v>
                </c:pt>
                <c:pt idx="24">
                  <c:v>42.962766135468634</c:v>
                </c:pt>
                <c:pt idx="25">
                  <c:v>48.33669625459595</c:v>
                </c:pt>
                <c:pt idx="26">
                  <c:v>39.057641797136561</c:v>
                </c:pt>
                <c:pt idx="27">
                  <c:v>21.529648143190183</c:v>
                </c:pt>
                <c:pt idx="28">
                  <c:v>28.533224728582642</c:v>
                </c:pt>
                <c:pt idx="29">
                  <c:v>40.166486592160538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1-4F06-87C2-E49D4E43234C}"/>
            </c:ext>
          </c:extLst>
        </c:ser>
        <c:ser>
          <c:idx val="0"/>
          <c:order val="1"/>
          <c:tx>
            <c:strRef>
              <c:f>'Estimated Expenditure'!$A$33</c:f>
              <c:strCache>
                <c:ptCount val="1"/>
                <c:pt idx="0">
                  <c:v>Connect Plus Services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'Estimated Expenditure'!$B$72:$AE$72</c:f>
              <c:strCache>
                <c:ptCount val="30"/>
                <c:pt idx="0">
                  <c:v>2020-2021</c:v>
                </c:pt>
                <c:pt idx="1">
                  <c:v>2021-2022</c:v>
                </c:pt>
                <c:pt idx="2">
                  <c:v>2022-2023</c:v>
                </c:pt>
                <c:pt idx="3">
                  <c:v>2023-2024</c:v>
                </c:pt>
                <c:pt idx="4">
                  <c:v>2024-2025</c:v>
                </c:pt>
                <c:pt idx="5">
                  <c:v>2025-2026</c:v>
                </c:pt>
                <c:pt idx="6">
                  <c:v>2026-2027</c:v>
                </c:pt>
                <c:pt idx="7">
                  <c:v>2027-2028</c:v>
                </c:pt>
                <c:pt idx="8">
                  <c:v>2028-2029</c:v>
                </c:pt>
                <c:pt idx="9">
                  <c:v>2029-2030</c:v>
                </c:pt>
                <c:pt idx="10">
                  <c:v>2030-2031</c:v>
                </c:pt>
                <c:pt idx="11">
                  <c:v>2031-2032</c:v>
                </c:pt>
                <c:pt idx="12">
                  <c:v>2032-2033</c:v>
                </c:pt>
                <c:pt idx="13">
                  <c:v>2033-2034</c:v>
                </c:pt>
                <c:pt idx="14">
                  <c:v>2034-2035</c:v>
                </c:pt>
                <c:pt idx="15">
                  <c:v>2035-2036</c:v>
                </c:pt>
                <c:pt idx="16">
                  <c:v>2036-2037</c:v>
                </c:pt>
                <c:pt idx="17">
                  <c:v>2037-2038</c:v>
                </c:pt>
                <c:pt idx="18">
                  <c:v>2038-2039</c:v>
                </c:pt>
                <c:pt idx="19">
                  <c:v>2039-2040</c:v>
                </c:pt>
                <c:pt idx="20">
                  <c:v>2040-2041</c:v>
                </c:pt>
                <c:pt idx="21">
                  <c:v>2041-2042</c:v>
                </c:pt>
                <c:pt idx="22">
                  <c:v>2042-2043</c:v>
                </c:pt>
                <c:pt idx="23">
                  <c:v>2043-2044</c:v>
                </c:pt>
                <c:pt idx="24">
                  <c:v>2044-2045</c:v>
                </c:pt>
                <c:pt idx="25">
                  <c:v>2045-2046</c:v>
                </c:pt>
                <c:pt idx="26">
                  <c:v>2046-2047</c:v>
                </c:pt>
                <c:pt idx="27">
                  <c:v>2047-2048</c:v>
                </c:pt>
                <c:pt idx="28">
                  <c:v>2048-2049</c:v>
                </c:pt>
                <c:pt idx="29">
                  <c:v>2049-2050</c:v>
                </c:pt>
              </c:strCache>
            </c:strRef>
          </c:cat>
          <c:val>
            <c:numRef>
              <c:f>'Estimated Expenditure'!$B$33:$AE$33</c:f>
              <c:numCache>
                <c:formatCode>_("£"* #,##0.00_);_("£"* \(#,##0.00\);_("£"* "-"??_);_(@_)</c:formatCode>
                <c:ptCount val="30"/>
                <c:pt idx="0">
                  <c:v>21.532580366273663</c:v>
                </c:pt>
                <c:pt idx="1">
                  <c:v>21.521546041800001</c:v>
                </c:pt>
                <c:pt idx="2">
                  <c:v>18.688244275600002</c:v>
                </c:pt>
                <c:pt idx="3">
                  <c:v>17.727087170599997</c:v>
                </c:pt>
                <c:pt idx="4">
                  <c:v>17.167450908499998</c:v>
                </c:pt>
                <c:pt idx="5">
                  <c:v>16.248232849999997</c:v>
                </c:pt>
                <c:pt idx="6">
                  <c:v>12.493859953499999</c:v>
                </c:pt>
                <c:pt idx="7">
                  <c:v>13.693977875</c:v>
                </c:pt>
                <c:pt idx="8">
                  <c:v>14.033504390000001</c:v>
                </c:pt>
                <c:pt idx="9">
                  <c:v>13.235951077500001</c:v>
                </c:pt>
                <c:pt idx="10">
                  <c:v>13.831831984999999</c:v>
                </c:pt>
                <c:pt idx="11">
                  <c:v>17.578414597999998</c:v>
                </c:pt>
                <c:pt idx="12">
                  <c:v>15.460047983500001</c:v>
                </c:pt>
                <c:pt idx="13">
                  <c:v>13.19001993</c:v>
                </c:pt>
                <c:pt idx="14">
                  <c:v>20.299671864999997</c:v>
                </c:pt>
                <c:pt idx="15">
                  <c:v>18.283288435000003</c:v>
                </c:pt>
                <c:pt idx="16">
                  <c:v>19.352695939</c:v>
                </c:pt>
                <c:pt idx="17">
                  <c:v>19.325314704499998</c:v>
                </c:pt>
                <c:pt idx="18">
                  <c:v>15.398756883499999</c:v>
                </c:pt>
                <c:pt idx="19">
                  <c:v>7.3798114999999997</c:v>
                </c:pt>
                <c:pt idx="20">
                  <c:v>9.3060244999999995</c:v>
                </c:pt>
                <c:pt idx="21">
                  <c:v>11.989102000000001</c:v>
                </c:pt>
                <c:pt idx="22">
                  <c:v>12.480312</c:v>
                </c:pt>
                <c:pt idx="23">
                  <c:v>21.466924500000001</c:v>
                </c:pt>
                <c:pt idx="24">
                  <c:v>17.581674499999998</c:v>
                </c:pt>
                <c:pt idx="25">
                  <c:v>13.0826995</c:v>
                </c:pt>
                <c:pt idx="26">
                  <c:v>22.357674500000002</c:v>
                </c:pt>
                <c:pt idx="27">
                  <c:v>26.521561999999996</c:v>
                </c:pt>
                <c:pt idx="28">
                  <c:v>14.452762</c:v>
                </c:pt>
                <c:pt idx="29">
                  <c:v>11.174836900000001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1-4F06-87C2-E49D4E432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76719280"/>
        <c:axId val="676720264"/>
      </c:barChart>
      <c:catAx>
        <c:axId val="67671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20264"/>
        <c:crosses val="autoZero"/>
        <c:auto val="1"/>
        <c:lblAlgn val="ctr"/>
        <c:lblOffset val="100"/>
        <c:noMultiLvlLbl val="0"/>
      </c:catAx>
      <c:valAx>
        <c:axId val="676720264"/>
        <c:scaling>
          <c:orientation val="minMax"/>
          <c:max val="110"/>
        </c:scaling>
        <c:delete val="0"/>
        <c:axPos val="l"/>
        <c:numFmt formatCode="&quot;£&quot;#,##0.0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chemeClr val="tx1"/>
                </a:solidFill>
                <a:effectLst/>
              </a:rPr>
              <a:t>30 Year Rolling Asset  Management Plan (2020-2050)</a:t>
            </a:r>
            <a:endParaRPr lang="en-GB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'Estimated Expenditure'!$A$82</c:f>
              <c:strCache>
                <c:ptCount val="1"/>
                <c:pt idx="0">
                  <c:v>Pavement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'Estimated Expenditure'!$B$80:$U$80</c:f>
              <c:strCache>
                <c:ptCount val="20"/>
                <c:pt idx="0">
                  <c:v>2020-2021</c:v>
                </c:pt>
                <c:pt idx="1">
                  <c:v>2021-2022</c:v>
                </c:pt>
                <c:pt idx="2">
                  <c:v>2022-2023</c:v>
                </c:pt>
                <c:pt idx="3">
                  <c:v>2023-2024</c:v>
                </c:pt>
                <c:pt idx="4">
                  <c:v>2024-2025</c:v>
                </c:pt>
                <c:pt idx="5">
                  <c:v>2025-2026</c:v>
                </c:pt>
                <c:pt idx="6">
                  <c:v>2026-2027</c:v>
                </c:pt>
                <c:pt idx="7">
                  <c:v>2027-2028</c:v>
                </c:pt>
                <c:pt idx="8">
                  <c:v>2028-2029</c:v>
                </c:pt>
                <c:pt idx="9">
                  <c:v>2029-2030</c:v>
                </c:pt>
                <c:pt idx="10">
                  <c:v>2030-2031</c:v>
                </c:pt>
                <c:pt idx="11">
                  <c:v>2031-2032</c:v>
                </c:pt>
                <c:pt idx="12">
                  <c:v>2032-2033</c:v>
                </c:pt>
                <c:pt idx="13">
                  <c:v>2033-2034</c:v>
                </c:pt>
                <c:pt idx="14">
                  <c:v>2034-2035</c:v>
                </c:pt>
                <c:pt idx="15">
                  <c:v>2035-2036</c:v>
                </c:pt>
                <c:pt idx="16">
                  <c:v>2036-2037</c:v>
                </c:pt>
                <c:pt idx="17">
                  <c:v>2037-2038</c:v>
                </c:pt>
                <c:pt idx="18">
                  <c:v>2038-2039</c:v>
                </c:pt>
                <c:pt idx="19">
                  <c:v>2039-2040</c:v>
                </c:pt>
              </c:strCache>
            </c:strRef>
          </c:cat>
          <c:val>
            <c:numRef>
              <c:f>'Estimated Expenditure'!$B$82:$U$82</c:f>
              <c:numCache>
                <c:formatCode>_("£"* #,##0.00_);_("£"* \(#,##0.00\);_("£"* "-"??_);_(@_)</c:formatCode>
                <c:ptCount val="20"/>
                <c:pt idx="0">
                  <c:v>28.918894999999999</c:v>
                </c:pt>
                <c:pt idx="1">
                  <c:v>22.798638</c:v>
                </c:pt>
                <c:pt idx="2">
                  <c:v>23.220200999999999</c:v>
                </c:pt>
                <c:pt idx="3">
                  <c:v>24.412120000000002</c:v>
                </c:pt>
                <c:pt idx="4">
                  <c:v>28.760155999999998</c:v>
                </c:pt>
                <c:pt idx="5">
                  <c:v>13.628170942266394</c:v>
                </c:pt>
                <c:pt idx="6">
                  <c:v>25.617629040530481</c:v>
                </c:pt>
                <c:pt idx="7">
                  <c:v>20.102627598476861</c:v>
                </c:pt>
                <c:pt idx="8">
                  <c:v>48.289835714242805</c:v>
                </c:pt>
                <c:pt idx="9">
                  <c:v>21.777387322967893</c:v>
                </c:pt>
                <c:pt idx="10">
                  <c:v>22.999914594772221</c:v>
                </c:pt>
                <c:pt idx="11">
                  <c:v>13.976331297026992</c:v>
                </c:pt>
                <c:pt idx="12">
                  <c:v>19.707995651017864</c:v>
                </c:pt>
                <c:pt idx="13">
                  <c:v>25.002548984533885</c:v>
                </c:pt>
                <c:pt idx="14">
                  <c:v>20.531664556411993</c:v>
                </c:pt>
                <c:pt idx="15">
                  <c:v>9.8619916638986584</c:v>
                </c:pt>
                <c:pt idx="16">
                  <c:v>14.171142402731947</c:v>
                </c:pt>
                <c:pt idx="17">
                  <c:v>11.089212293309849</c:v>
                </c:pt>
                <c:pt idx="18">
                  <c:v>16.843499770880193</c:v>
                </c:pt>
                <c:pt idx="19">
                  <c:v>7.6876302005491413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5-4F4B-A166-51AC51DA58AC}"/>
            </c:ext>
          </c:extLst>
        </c:ser>
        <c:ser>
          <c:idx val="1"/>
          <c:order val="1"/>
          <c:tx>
            <c:strRef>
              <c:f>'Estimated Expenditure'!$A$83</c:f>
              <c:strCache>
                <c:ptCount val="1"/>
                <c:pt idx="0">
                  <c:v>Structures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'Estimated Expenditure'!$B$80:$U$80</c:f>
              <c:strCache>
                <c:ptCount val="20"/>
                <c:pt idx="0">
                  <c:v>2020-2021</c:v>
                </c:pt>
                <c:pt idx="1">
                  <c:v>2021-2022</c:v>
                </c:pt>
                <c:pt idx="2">
                  <c:v>2022-2023</c:v>
                </c:pt>
                <c:pt idx="3">
                  <c:v>2023-2024</c:v>
                </c:pt>
                <c:pt idx="4">
                  <c:v>2024-2025</c:v>
                </c:pt>
                <c:pt idx="5">
                  <c:v>2025-2026</c:v>
                </c:pt>
                <c:pt idx="6">
                  <c:v>2026-2027</c:v>
                </c:pt>
                <c:pt idx="7">
                  <c:v>2027-2028</c:v>
                </c:pt>
                <c:pt idx="8">
                  <c:v>2028-2029</c:v>
                </c:pt>
                <c:pt idx="9">
                  <c:v>2029-2030</c:v>
                </c:pt>
                <c:pt idx="10">
                  <c:v>2030-2031</c:v>
                </c:pt>
                <c:pt idx="11">
                  <c:v>2031-2032</c:v>
                </c:pt>
                <c:pt idx="12">
                  <c:v>2032-2033</c:v>
                </c:pt>
                <c:pt idx="13">
                  <c:v>2033-2034</c:v>
                </c:pt>
                <c:pt idx="14">
                  <c:v>2034-2035</c:v>
                </c:pt>
                <c:pt idx="15">
                  <c:v>2035-2036</c:v>
                </c:pt>
                <c:pt idx="16">
                  <c:v>2036-2037</c:v>
                </c:pt>
                <c:pt idx="17">
                  <c:v>2037-2038</c:v>
                </c:pt>
                <c:pt idx="18">
                  <c:v>2038-2039</c:v>
                </c:pt>
                <c:pt idx="19">
                  <c:v>2039-2040</c:v>
                </c:pt>
              </c:strCache>
            </c:strRef>
          </c:cat>
          <c:val>
            <c:numRef>
              <c:f>'Estimated Expenditure'!$B$83:$U$83</c:f>
              <c:numCache>
                <c:formatCode>_("£"* #,##0.00_);_("£"* \(#,##0.00\);_("£"* "-"??_);_(@_)</c:formatCode>
                <c:ptCount val="20"/>
                <c:pt idx="0">
                  <c:v>38.508848929999999</c:v>
                </c:pt>
                <c:pt idx="1">
                  <c:v>27.203706780000001</c:v>
                </c:pt>
                <c:pt idx="2">
                  <c:v>19.425628789999998</c:v>
                </c:pt>
                <c:pt idx="3">
                  <c:v>13.9068319</c:v>
                </c:pt>
                <c:pt idx="4">
                  <c:v>19.240153840000001</c:v>
                </c:pt>
                <c:pt idx="5">
                  <c:v>16.113331340512854</c:v>
                </c:pt>
                <c:pt idx="6">
                  <c:v>17.493117027980858</c:v>
                </c:pt>
                <c:pt idx="7">
                  <c:v>24.503969585995858</c:v>
                </c:pt>
                <c:pt idx="8">
                  <c:v>19.288640730843856</c:v>
                </c:pt>
                <c:pt idx="9">
                  <c:v>11.951717958580858</c:v>
                </c:pt>
                <c:pt idx="10">
                  <c:v>14.207356610000856</c:v>
                </c:pt>
                <c:pt idx="11">
                  <c:v>18.115421964170853</c:v>
                </c:pt>
                <c:pt idx="12">
                  <c:v>17.214024457220852</c:v>
                </c:pt>
                <c:pt idx="13">
                  <c:v>33.106229055498858</c:v>
                </c:pt>
                <c:pt idx="14">
                  <c:v>24.17923159263086</c:v>
                </c:pt>
                <c:pt idx="15">
                  <c:v>18.043587408980855</c:v>
                </c:pt>
                <c:pt idx="16">
                  <c:v>17.08910884706086</c:v>
                </c:pt>
                <c:pt idx="17">
                  <c:v>18.230006394245851</c:v>
                </c:pt>
                <c:pt idx="18">
                  <c:v>24.796601456400857</c:v>
                </c:pt>
                <c:pt idx="19">
                  <c:v>17.397638918219858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5-4F4B-A166-51AC51DA58AC}"/>
            </c:ext>
          </c:extLst>
        </c:ser>
        <c:ser>
          <c:idx val="2"/>
          <c:order val="2"/>
          <c:tx>
            <c:strRef>
              <c:f>'Estimated Expenditure'!$A$84</c:f>
              <c:strCache>
                <c:ptCount val="1"/>
                <c:pt idx="0">
                  <c:v>Dartford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'Estimated Expenditure'!$B$80:$U$80</c:f>
              <c:strCache>
                <c:ptCount val="20"/>
                <c:pt idx="0">
                  <c:v>2020-2021</c:v>
                </c:pt>
                <c:pt idx="1">
                  <c:v>2021-2022</c:v>
                </c:pt>
                <c:pt idx="2">
                  <c:v>2022-2023</c:v>
                </c:pt>
                <c:pt idx="3">
                  <c:v>2023-2024</c:v>
                </c:pt>
                <c:pt idx="4">
                  <c:v>2024-2025</c:v>
                </c:pt>
                <c:pt idx="5">
                  <c:v>2025-2026</c:v>
                </c:pt>
                <c:pt idx="6">
                  <c:v>2026-2027</c:v>
                </c:pt>
                <c:pt idx="7">
                  <c:v>2027-2028</c:v>
                </c:pt>
                <c:pt idx="8">
                  <c:v>2028-2029</c:v>
                </c:pt>
                <c:pt idx="9">
                  <c:v>2029-2030</c:v>
                </c:pt>
                <c:pt idx="10">
                  <c:v>2030-2031</c:v>
                </c:pt>
                <c:pt idx="11">
                  <c:v>2031-2032</c:v>
                </c:pt>
                <c:pt idx="12">
                  <c:v>2032-2033</c:v>
                </c:pt>
                <c:pt idx="13">
                  <c:v>2033-2034</c:v>
                </c:pt>
                <c:pt idx="14">
                  <c:v>2034-2035</c:v>
                </c:pt>
                <c:pt idx="15">
                  <c:v>2035-2036</c:v>
                </c:pt>
                <c:pt idx="16">
                  <c:v>2036-2037</c:v>
                </c:pt>
                <c:pt idx="17">
                  <c:v>2037-2038</c:v>
                </c:pt>
                <c:pt idx="18">
                  <c:v>2038-2039</c:v>
                </c:pt>
                <c:pt idx="19">
                  <c:v>2039-2040</c:v>
                </c:pt>
              </c:strCache>
            </c:strRef>
          </c:cat>
          <c:val>
            <c:numRef>
              <c:f>'Estimated Expenditure'!$B$84:$U$84</c:f>
              <c:numCache>
                <c:formatCode>_("£"* #,##0.00_);_("£"* \(#,##0.00\);_("£"* "-"??_);_(@_)</c:formatCode>
                <c:ptCount val="20"/>
                <c:pt idx="0">
                  <c:v>4.3127019999999998</c:v>
                </c:pt>
                <c:pt idx="1">
                  <c:v>3.1982050000000002</c:v>
                </c:pt>
                <c:pt idx="2">
                  <c:v>3.3266719999999999</c:v>
                </c:pt>
                <c:pt idx="3">
                  <c:v>3.2544279999999999</c:v>
                </c:pt>
                <c:pt idx="4">
                  <c:v>1.5423439999999999</c:v>
                </c:pt>
                <c:pt idx="5">
                  <c:v>0.65461409682382232</c:v>
                </c:pt>
                <c:pt idx="6">
                  <c:v>2.5645647858544978</c:v>
                </c:pt>
                <c:pt idx="7">
                  <c:v>1.4381673339311247</c:v>
                </c:pt>
                <c:pt idx="8">
                  <c:v>0.58022613127566069</c:v>
                </c:pt>
                <c:pt idx="9">
                  <c:v>0.51575656113392065</c:v>
                </c:pt>
                <c:pt idx="10">
                  <c:v>5.5691790207056995</c:v>
                </c:pt>
                <c:pt idx="11">
                  <c:v>6.5924643380641443</c:v>
                </c:pt>
                <c:pt idx="12">
                  <c:v>0.76867564399767019</c:v>
                </c:pt>
                <c:pt idx="13">
                  <c:v>0.61989971290134682</c:v>
                </c:pt>
                <c:pt idx="14">
                  <c:v>2.4795988516053873</c:v>
                </c:pt>
                <c:pt idx="15">
                  <c:v>1.1356562740352676</c:v>
                </c:pt>
                <c:pt idx="16">
                  <c:v>2.7065267793066097</c:v>
                </c:pt>
                <c:pt idx="17">
                  <c:v>1.0315131222678413</c:v>
                </c:pt>
                <c:pt idx="18">
                  <c:v>0.66949168993345476</c:v>
                </c:pt>
                <c:pt idx="19">
                  <c:v>1.0315131222678413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75-4F4B-A166-51AC51DA58AC}"/>
            </c:ext>
          </c:extLst>
        </c:ser>
        <c:ser>
          <c:idx val="3"/>
          <c:order val="3"/>
          <c:tx>
            <c:strRef>
              <c:f>'Estimated Expenditure'!$A$85</c:f>
              <c:strCache>
                <c:ptCount val="1"/>
                <c:pt idx="0">
                  <c:v>Geotechnical, Drainage &amp; CRB</c:v>
                </c:pt>
              </c:strCache>
            </c:strRef>
          </c:tx>
          <c:spPr>
            <a:solidFill>
              <a:srgbClr val="FFDE75"/>
            </a:solidFill>
            <a:ln>
              <a:solidFill>
                <a:schemeClr val="tx1"/>
              </a:solidFill>
            </a:ln>
            <a:effectLst/>
          </c:spPr>
          <c:cat>
            <c:strRef>
              <c:f>'Estimated Expenditure'!$B$80:$U$80</c:f>
              <c:strCache>
                <c:ptCount val="20"/>
                <c:pt idx="0">
                  <c:v>2020-2021</c:v>
                </c:pt>
                <c:pt idx="1">
                  <c:v>2021-2022</c:v>
                </c:pt>
                <c:pt idx="2">
                  <c:v>2022-2023</c:v>
                </c:pt>
                <c:pt idx="3">
                  <c:v>2023-2024</c:v>
                </c:pt>
                <c:pt idx="4">
                  <c:v>2024-2025</c:v>
                </c:pt>
                <c:pt idx="5">
                  <c:v>2025-2026</c:v>
                </c:pt>
                <c:pt idx="6">
                  <c:v>2026-2027</c:v>
                </c:pt>
                <c:pt idx="7">
                  <c:v>2027-2028</c:v>
                </c:pt>
                <c:pt idx="8">
                  <c:v>2028-2029</c:v>
                </c:pt>
                <c:pt idx="9">
                  <c:v>2029-2030</c:v>
                </c:pt>
                <c:pt idx="10">
                  <c:v>2030-2031</c:v>
                </c:pt>
                <c:pt idx="11">
                  <c:v>2031-2032</c:v>
                </c:pt>
                <c:pt idx="12">
                  <c:v>2032-2033</c:v>
                </c:pt>
                <c:pt idx="13">
                  <c:v>2033-2034</c:v>
                </c:pt>
                <c:pt idx="14">
                  <c:v>2034-2035</c:v>
                </c:pt>
                <c:pt idx="15">
                  <c:v>2035-2036</c:v>
                </c:pt>
                <c:pt idx="16">
                  <c:v>2036-2037</c:v>
                </c:pt>
                <c:pt idx="17">
                  <c:v>2037-2038</c:v>
                </c:pt>
                <c:pt idx="18">
                  <c:v>2038-2039</c:v>
                </c:pt>
                <c:pt idx="19">
                  <c:v>2039-2040</c:v>
                </c:pt>
              </c:strCache>
            </c:strRef>
          </c:cat>
          <c:val>
            <c:numRef>
              <c:f>'Estimated Expenditure'!$B$85:$U$85</c:f>
              <c:numCache>
                <c:formatCode>_("£"* #,##0.00_);_("£"* \(#,##0.00\);_("£"* "-"??_);_(@_)</c:formatCode>
                <c:ptCount val="20"/>
                <c:pt idx="0">
                  <c:v>4.6429181442009728</c:v>
                </c:pt>
                <c:pt idx="1">
                  <c:v>3.9255189329563636</c:v>
                </c:pt>
                <c:pt idx="2">
                  <c:v>3.6324372581435624</c:v>
                </c:pt>
                <c:pt idx="3">
                  <c:v>2.3250505970219622</c:v>
                </c:pt>
                <c:pt idx="4">
                  <c:v>2.2506883795683619</c:v>
                </c:pt>
                <c:pt idx="5">
                  <c:v>1.6154281666666666</c:v>
                </c:pt>
                <c:pt idx="6">
                  <c:v>2.0444776666666664</c:v>
                </c:pt>
                <c:pt idx="7">
                  <c:v>2.0612026666666665</c:v>
                </c:pt>
                <c:pt idx="8">
                  <c:v>1.9785061666666666</c:v>
                </c:pt>
                <c:pt idx="9">
                  <c:v>1.9744841666666666</c:v>
                </c:pt>
                <c:pt idx="10">
                  <c:v>2.1826801666666666</c:v>
                </c:pt>
                <c:pt idx="11">
                  <c:v>2.1070936666666666</c:v>
                </c:pt>
                <c:pt idx="12">
                  <c:v>2.2720961666666666</c:v>
                </c:pt>
                <c:pt idx="13">
                  <c:v>2.5123291666666665</c:v>
                </c:pt>
                <c:pt idx="14">
                  <c:v>2.1976066666666667</c:v>
                </c:pt>
                <c:pt idx="15">
                  <c:v>2.6928476666666663</c:v>
                </c:pt>
                <c:pt idx="16">
                  <c:v>2.2730276666666667</c:v>
                </c:pt>
                <c:pt idx="17">
                  <c:v>2.2281486666666663</c:v>
                </c:pt>
                <c:pt idx="18">
                  <c:v>2.2582231666666663</c:v>
                </c:pt>
                <c:pt idx="19">
                  <c:v>2.3782651666666665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75-4F4B-A166-51AC51DA58AC}"/>
            </c:ext>
          </c:extLst>
        </c:ser>
        <c:ser>
          <c:idx val="4"/>
          <c:order val="4"/>
          <c:tx>
            <c:strRef>
              <c:f>'Estimated Expenditure'!$A$86</c:f>
              <c:strCache>
                <c:ptCount val="1"/>
                <c:pt idx="0">
                  <c:v>Other Assets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'Estimated Expenditure'!$B$80:$U$80</c:f>
              <c:strCache>
                <c:ptCount val="20"/>
                <c:pt idx="0">
                  <c:v>2020-2021</c:v>
                </c:pt>
                <c:pt idx="1">
                  <c:v>2021-2022</c:v>
                </c:pt>
                <c:pt idx="2">
                  <c:v>2022-2023</c:v>
                </c:pt>
                <c:pt idx="3">
                  <c:v>2023-2024</c:v>
                </c:pt>
                <c:pt idx="4">
                  <c:v>2024-2025</c:v>
                </c:pt>
                <c:pt idx="5">
                  <c:v>2025-2026</c:v>
                </c:pt>
                <c:pt idx="6">
                  <c:v>2026-2027</c:v>
                </c:pt>
                <c:pt idx="7">
                  <c:v>2027-2028</c:v>
                </c:pt>
                <c:pt idx="8">
                  <c:v>2028-2029</c:v>
                </c:pt>
                <c:pt idx="9">
                  <c:v>2029-2030</c:v>
                </c:pt>
                <c:pt idx="10">
                  <c:v>2030-2031</c:v>
                </c:pt>
                <c:pt idx="11">
                  <c:v>2031-2032</c:v>
                </c:pt>
                <c:pt idx="12">
                  <c:v>2032-2033</c:v>
                </c:pt>
                <c:pt idx="13">
                  <c:v>2033-2034</c:v>
                </c:pt>
                <c:pt idx="14">
                  <c:v>2034-2035</c:v>
                </c:pt>
                <c:pt idx="15">
                  <c:v>2035-2036</c:v>
                </c:pt>
                <c:pt idx="16">
                  <c:v>2036-2037</c:v>
                </c:pt>
                <c:pt idx="17">
                  <c:v>2037-2038</c:v>
                </c:pt>
                <c:pt idx="18">
                  <c:v>2038-2039</c:v>
                </c:pt>
                <c:pt idx="19">
                  <c:v>2039-2040</c:v>
                </c:pt>
              </c:strCache>
            </c:strRef>
          </c:cat>
          <c:val>
            <c:numRef>
              <c:f>'Estimated Expenditure'!$B$86:$U$86</c:f>
              <c:numCache>
                <c:formatCode>_("£"* #,##0.00_);_("£"* \(#,##0.00\);_("£"* "-"??_);_(@_)</c:formatCode>
                <c:ptCount val="20"/>
                <c:pt idx="0">
                  <c:v>22.565712296273663</c:v>
                </c:pt>
                <c:pt idx="1">
                  <c:v>21.7655460418</c:v>
                </c:pt>
                <c:pt idx="2">
                  <c:v>18.912244275600003</c:v>
                </c:pt>
                <c:pt idx="3">
                  <c:v>17.951087170599997</c:v>
                </c:pt>
                <c:pt idx="4">
                  <c:v>20.586450908499998</c:v>
                </c:pt>
                <c:pt idx="5">
                  <c:v>19.867232849999997</c:v>
                </c:pt>
                <c:pt idx="6">
                  <c:v>15.513359953499998</c:v>
                </c:pt>
                <c:pt idx="7">
                  <c:v>16.264977875</c:v>
                </c:pt>
                <c:pt idx="8">
                  <c:v>16.428504390000001</c:v>
                </c:pt>
                <c:pt idx="9">
                  <c:v>15.0869510775</c:v>
                </c:pt>
                <c:pt idx="10">
                  <c:v>15.626831984999999</c:v>
                </c:pt>
                <c:pt idx="11">
                  <c:v>19.349414597999999</c:v>
                </c:pt>
                <c:pt idx="12">
                  <c:v>17.351047983499999</c:v>
                </c:pt>
                <c:pt idx="13">
                  <c:v>15.041019929999999</c:v>
                </c:pt>
                <c:pt idx="14">
                  <c:v>22.046671864999997</c:v>
                </c:pt>
                <c:pt idx="15">
                  <c:v>20.078288435000001</c:v>
                </c:pt>
                <c:pt idx="16">
                  <c:v>21.523695939</c:v>
                </c:pt>
                <c:pt idx="17">
                  <c:v>21.152314704499997</c:v>
                </c:pt>
                <c:pt idx="18">
                  <c:v>17.145756883499999</c:v>
                </c:pt>
                <c:pt idx="19">
                  <c:v>9.5508115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75-4F4B-A166-51AC51DA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821664"/>
        <c:axId val="1161823960"/>
      </c:areaChart>
      <c:lineChart>
        <c:grouping val="standard"/>
        <c:varyColors val="0"/>
        <c:ser>
          <c:idx val="5"/>
          <c:order val="5"/>
          <c:tx>
            <c:strRef>
              <c:f>'Estimated Expenditure'!$A$89</c:f>
              <c:strCache>
                <c:ptCount val="1"/>
                <c:pt idx="0">
                  <c:v>Average Spend (Forecast)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6A75-4F4B-A166-51AC51DA58AC}"/>
              </c:ext>
            </c:extLst>
          </c:dPt>
          <c:dLbls>
            <c:dLbl>
              <c:idx val="0"/>
              <c:layout>
                <c:manualLayout>
                  <c:x val="0.13171504395620615"/>
                  <c:y val="-3.1138677694825815E-2"/>
                </c:manualLayout>
              </c:layout>
              <c:numFmt formatCode="&quot;£&quot;#,##0.0&quot;m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75-4F4B-A166-51AC51DA58AC}"/>
                </c:ext>
              </c:extLst>
            </c:dLbl>
            <c:dLbl>
              <c:idx val="10"/>
              <c:layout>
                <c:manualLayout>
                  <c:x val="-1.6464380494525768E-2"/>
                  <c:y val="-3.7366413233790967E-2"/>
                </c:manualLayout>
              </c:layout>
              <c:numFmt formatCode="&quot;£&quot;#,##0.0&quot;m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A75-4F4B-A166-51AC51DA58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'Estimated Expenditure'!$B$80:$U$80</c:f>
              <c:strCache>
                <c:ptCount val="20"/>
                <c:pt idx="0">
                  <c:v>2020-2021</c:v>
                </c:pt>
                <c:pt idx="1">
                  <c:v>2021-2022</c:v>
                </c:pt>
                <c:pt idx="2">
                  <c:v>2022-2023</c:v>
                </c:pt>
                <c:pt idx="3">
                  <c:v>2023-2024</c:v>
                </c:pt>
                <c:pt idx="4">
                  <c:v>2024-2025</c:v>
                </c:pt>
                <c:pt idx="5">
                  <c:v>2025-2026</c:v>
                </c:pt>
                <c:pt idx="6">
                  <c:v>2026-2027</c:v>
                </c:pt>
                <c:pt idx="7">
                  <c:v>2027-2028</c:v>
                </c:pt>
                <c:pt idx="8">
                  <c:v>2028-2029</c:v>
                </c:pt>
                <c:pt idx="9">
                  <c:v>2029-2030</c:v>
                </c:pt>
                <c:pt idx="10">
                  <c:v>2030-2031</c:v>
                </c:pt>
                <c:pt idx="11">
                  <c:v>2031-2032</c:v>
                </c:pt>
                <c:pt idx="12">
                  <c:v>2032-2033</c:v>
                </c:pt>
                <c:pt idx="13">
                  <c:v>2033-2034</c:v>
                </c:pt>
                <c:pt idx="14">
                  <c:v>2034-2035</c:v>
                </c:pt>
                <c:pt idx="15">
                  <c:v>2035-2036</c:v>
                </c:pt>
                <c:pt idx="16">
                  <c:v>2036-2037</c:v>
                </c:pt>
                <c:pt idx="17">
                  <c:v>2037-2038</c:v>
                </c:pt>
                <c:pt idx="18">
                  <c:v>2038-2039</c:v>
                </c:pt>
                <c:pt idx="19">
                  <c:v>2039-2040</c:v>
                </c:pt>
              </c:strCache>
            </c:strRef>
          </c:cat>
          <c:val>
            <c:numRef>
              <c:f>'Estimated Expenditure'!$B$89:$U$89</c:f>
              <c:numCache>
                <c:formatCode>_("£"* #,##0.00_);_("£"* \(#,##0.00\);_("£"* "-"??_);_(@_)</c:formatCode>
                <c:ptCount val="20"/>
                <c:pt idx="0">
                  <c:v>76.11743704893297</c:v>
                </c:pt>
                <c:pt idx="1">
                  <c:v>76.11743704893297</c:v>
                </c:pt>
                <c:pt idx="2">
                  <c:v>76.11743704893297</c:v>
                </c:pt>
                <c:pt idx="3">
                  <c:v>76.11743704893297</c:v>
                </c:pt>
                <c:pt idx="4">
                  <c:v>76.11743704893297</c:v>
                </c:pt>
                <c:pt idx="5">
                  <c:v>60.411913987704423</c:v>
                </c:pt>
                <c:pt idx="6">
                  <c:v>60.411913987704423</c:v>
                </c:pt>
                <c:pt idx="7">
                  <c:v>60.411913987704423</c:v>
                </c:pt>
                <c:pt idx="8">
                  <c:v>60.411913987704423</c:v>
                </c:pt>
                <c:pt idx="9">
                  <c:v>60.411913987704423</c:v>
                </c:pt>
                <c:pt idx="10">
                  <c:v>60.411913987704423</c:v>
                </c:pt>
                <c:pt idx="11">
                  <c:v>60.411913987704423</c:v>
                </c:pt>
                <c:pt idx="12">
                  <c:v>60.411913987704423</c:v>
                </c:pt>
                <c:pt idx="13">
                  <c:v>60.411913987704423</c:v>
                </c:pt>
                <c:pt idx="14">
                  <c:v>60.411913987704423</c:v>
                </c:pt>
                <c:pt idx="15">
                  <c:v>60.411913987704423</c:v>
                </c:pt>
                <c:pt idx="16">
                  <c:v>60.411913987704423</c:v>
                </c:pt>
                <c:pt idx="17">
                  <c:v>60.411913987704423</c:v>
                </c:pt>
                <c:pt idx="18">
                  <c:v>60.411913987704423</c:v>
                </c:pt>
                <c:pt idx="19">
                  <c:v>60.411913987704423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75-4F4B-A166-51AC51DA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821664"/>
        <c:axId val="1161823960"/>
      </c:lineChart>
      <c:catAx>
        <c:axId val="116182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823960"/>
        <c:crosses val="autoZero"/>
        <c:auto val="1"/>
        <c:lblAlgn val="ctr"/>
        <c:lblOffset val="100"/>
        <c:noMultiLvlLbl val="0"/>
      </c:catAx>
      <c:valAx>
        <c:axId val="1161823960"/>
        <c:scaling>
          <c:orientation val="minMax"/>
          <c:max val="110"/>
          <c:min val="0"/>
        </c:scaling>
        <c:delete val="0"/>
        <c:axPos val="l"/>
        <c:numFmt formatCode="&quot;£&quot;#,##0.0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82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3464069755521403E-2"/>
          <c:y val="0.1151353833698375"/>
          <c:w val="0.93206922259802538"/>
          <c:h val="0.12846862189774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89</xdr:row>
      <xdr:rowOff>124113</xdr:rowOff>
    </xdr:from>
    <xdr:to>
      <xdr:col>8</xdr:col>
      <xdr:colOff>103716</xdr:colOff>
      <xdr:row>115</xdr:row>
      <xdr:rowOff>68792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81425D6-718C-42EB-B2DD-B6D9440D1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618163</xdr:colOff>
      <xdr:row>126</xdr:row>
      <xdr:rowOff>105494</xdr:rowOff>
    </xdr:from>
    <xdr:to>
      <xdr:col>7</xdr:col>
      <xdr:colOff>703888</xdr:colOff>
      <xdr:row>151</xdr:row>
      <xdr:rowOff>81491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0BA7C5-6407-4913-B257-7BCFB168D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943503</xdr:colOff>
      <xdr:row>126</xdr:row>
      <xdr:rowOff>11112</xdr:rowOff>
    </xdr:from>
    <xdr:to>
      <xdr:col>14</xdr:col>
      <xdr:colOff>179917</xdr:colOff>
      <xdr:row>151</xdr:row>
      <xdr:rowOff>21166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5DE9BA7-24E3-45EA-8612-45E7AD36A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655110</xdr:colOff>
      <xdr:row>134</xdr:row>
      <xdr:rowOff>104772</xdr:rowOff>
    </xdr:from>
    <xdr:to>
      <xdr:col>13</xdr:col>
      <xdr:colOff>1171575</xdr:colOff>
      <xdr:row>135</xdr:row>
      <xdr:rowOff>142874</xdr:rowOff>
    </xdr:to>
    <xdr:sp macro="" textlink="$T$123">
      <xdr:nvSpPr>
        <xdr:cNvPr id="17" name="TextBox 16">
          <a:extLst>
            <a:ext uri="{FF2B5EF4-FFF2-40B4-BE49-F238E27FC236}">
              <a16:creationId xmlns:a16="http://schemas.microsoft.com/office/drawing/2014/main" id="{6BCC0EF9-142A-40BF-AAEA-F9E9EA6A95E3}"/>
            </a:ext>
          </a:extLst>
        </xdr:cNvPr>
        <xdr:cNvSpPr txBox="1"/>
      </xdr:nvSpPr>
      <xdr:spPr>
        <a:xfrm>
          <a:off x="16990485" y="22050372"/>
          <a:ext cx="516465" cy="200027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rtlCol="0" anchor="ctr"/>
        <a:lstStyle/>
        <a:p>
          <a:pPr algn="ctr"/>
          <a:fld id="{357385A9-AD00-4E04-94AB-CEBC4CB4D414}" type="TxLink">
            <a:rPr lang="en-US" sz="900" b="1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£54.0m</a:t>
          </a:fld>
          <a:endParaRPr lang="en-GB" sz="1050" b="1"/>
        </a:p>
      </xdr:txBody>
    </xdr:sp>
    <xdr:clientData/>
  </xdr:twoCellAnchor>
  <xdr:twoCellAnchor>
    <xdr:from>
      <xdr:col>13</xdr:col>
      <xdr:colOff>658284</xdr:colOff>
      <xdr:row>135</xdr:row>
      <xdr:rowOff>128058</xdr:rowOff>
    </xdr:from>
    <xdr:to>
      <xdr:col>13</xdr:col>
      <xdr:colOff>1174749</xdr:colOff>
      <xdr:row>136</xdr:row>
      <xdr:rowOff>144990</xdr:rowOff>
    </xdr:to>
    <xdr:sp macro="" textlink="$T$124">
      <xdr:nvSpPr>
        <xdr:cNvPr id="18" name="TextBox 17">
          <a:extLst>
            <a:ext uri="{FF2B5EF4-FFF2-40B4-BE49-F238E27FC236}">
              <a16:creationId xmlns:a16="http://schemas.microsoft.com/office/drawing/2014/main" id="{69B1BA77-9F1A-42C0-81C4-DEDBFD328A2D}"/>
            </a:ext>
          </a:extLst>
        </xdr:cNvPr>
        <xdr:cNvSpPr txBox="1"/>
      </xdr:nvSpPr>
      <xdr:spPr>
        <a:xfrm>
          <a:off x="16861367" y="21516975"/>
          <a:ext cx="516465" cy="175682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rtlCol="0" anchor="ctr"/>
        <a:lstStyle/>
        <a:p>
          <a:pPr algn="ctr"/>
          <a:fld id="{F7A1B6DF-643A-48DB-9246-1DB9B4742764}" type="TxLink">
            <a:rPr lang="en-US" sz="900" b="1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6.37%</a:t>
          </a:fld>
          <a:endParaRPr lang="en-US" sz="800" b="1" i="0" u="none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1171576</xdr:colOff>
      <xdr:row>132</xdr:row>
      <xdr:rowOff>60325</xdr:rowOff>
    </xdr:from>
    <xdr:to>
      <xdr:col>13</xdr:col>
      <xdr:colOff>1172634</xdr:colOff>
      <xdr:row>133</xdr:row>
      <xdr:rowOff>91017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4E726AF5-2A02-46C6-964D-BB0D6EF40094}"/>
            </a:ext>
          </a:extLst>
        </xdr:cNvPr>
        <xdr:cNvCxnSpPr/>
      </xdr:nvCxnSpPr>
      <xdr:spPr>
        <a:xfrm>
          <a:off x="17374659" y="20972992"/>
          <a:ext cx="1058" cy="189442"/>
        </a:xfrm>
        <a:prstGeom prst="straightConnector1">
          <a:avLst/>
        </a:prstGeom>
        <a:ln w="127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179915</xdr:colOff>
      <xdr:row>41</xdr:row>
      <xdr:rowOff>106887</xdr:rowOff>
    </xdr:from>
    <xdr:to>
      <xdr:col>9</xdr:col>
      <xdr:colOff>234951</xdr:colOff>
      <xdr:row>68</xdr:row>
      <xdr:rowOff>75142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08762EB1-2189-429D-BD14-9B40B388A178}"/>
            </a:ext>
          </a:extLst>
        </xdr:cNvPr>
        <xdr:cNvGrpSpPr/>
      </xdr:nvGrpSpPr>
      <xdr:grpSpPr>
        <a:xfrm>
          <a:off x="183090" y="6949806"/>
          <a:ext cx="11461224" cy="4471992"/>
          <a:chOff x="179915" y="6917262"/>
          <a:chExt cx="11475511" cy="434023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767A0D89-DE6F-461B-871D-FDB9E7E977A1}"/>
              </a:ext>
            </a:extLst>
          </xdr:cNvPr>
          <xdr:cNvGraphicFramePr/>
        </xdr:nvGraphicFramePr>
        <xdr:xfrm>
          <a:off x="179915" y="6917262"/>
          <a:ext cx="11475511" cy="4340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A99566BF-896B-4323-8796-EB07984A6AA8}"/>
              </a:ext>
            </a:extLst>
          </xdr:cNvPr>
          <xdr:cNvCxnSpPr/>
        </xdr:nvCxnSpPr>
        <xdr:spPr>
          <a:xfrm>
            <a:off x="7743019" y="7867011"/>
            <a:ext cx="0" cy="2791146"/>
          </a:xfrm>
          <a:prstGeom prst="line">
            <a:avLst/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A0E364BB-7A3E-4C11-9ECE-A41614243BF9}"/>
              </a:ext>
            </a:extLst>
          </xdr:cNvPr>
          <xdr:cNvSpPr/>
        </xdr:nvSpPr>
        <xdr:spPr>
          <a:xfrm>
            <a:off x="8239127" y="8249707"/>
            <a:ext cx="2636306" cy="3492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 b="1" u="sng">
                <a:solidFill>
                  <a:schemeClr val="tx1"/>
                </a:solidFill>
              </a:rPr>
              <a:t>Handback</a:t>
            </a:r>
            <a:r>
              <a:rPr lang="en-GB" sz="1100" b="1" u="sng" baseline="0">
                <a:solidFill>
                  <a:schemeClr val="tx1"/>
                </a:solidFill>
              </a:rPr>
              <a:t> Tests met</a:t>
            </a:r>
            <a:endParaRPr lang="en-GB" sz="1100" b="1" u="sng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8</xdr:col>
      <xdr:colOff>256114</xdr:colOff>
      <xdr:row>89</xdr:row>
      <xdr:rowOff>49740</xdr:rowOff>
    </xdr:from>
    <xdr:to>
      <xdr:col>13</xdr:col>
      <xdr:colOff>1210734</xdr:colOff>
      <xdr:row>114</xdr:row>
      <xdr:rowOff>116417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126F93-7C75-4975-8D55-FBA535408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182031</xdr:colOff>
      <xdr:row>89</xdr:row>
      <xdr:rowOff>39157</xdr:rowOff>
    </xdr:from>
    <xdr:to>
      <xdr:col>20</xdr:col>
      <xdr:colOff>49740</xdr:colOff>
      <xdr:row>115</xdr:row>
      <xdr:rowOff>116416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96DCCE-1C39-4367-A2FD-E759A41B3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486834</xdr:colOff>
      <xdr:row>42</xdr:row>
      <xdr:rowOff>46567</xdr:rowOff>
    </xdr:from>
    <xdr:to>
      <xdr:col>16</xdr:col>
      <xdr:colOff>455083</xdr:colOff>
      <xdr:row>68</xdr:row>
      <xdr:rowOff>116417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4CC5D3-748F-42CC-9536-F3BBE3D5A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179915</xdr:colOff>
      <xdr:row>41</xdr:row>
      <xdr:rowOff>106887</xdr:rowOff>
    </xdr:from>
    <xdr:to>
      <xdr:col>0</xdr:col>
      <xdr:colOff>179915</xdr:colOff>
      <xdr:row>58</xdr:row>
      <xdr:rowOff>135444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2F7671FE-826B-453E-A97E-11840EFC6913}"/>
            </a:ext>
          </a:extLst>
        </xdr:cNvPr>
        <xdr:cNvCxnSpPr/>
      </xdr:nvCxnSpPr>
      <xdr:spPr>
        <a:xfrm>
          <a:off x="179915" y="6806137"/>
          <a:ext cx="0" cy="2727307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179915</xdr:colOff>
      <xdr:row>41</xdr:row>
      <xdr:rowOff>106887</xdr:rowOff>
    </xdr:from>
    <xdr:to>
      <xdr:col>0</xdr:col>
      <xdr:colOff>179915</xdr:colOff>
      <xdr:row>58</xdr:row>
      <xdr:rowOff>135444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A07F7919-9674-46E3-B55F-960F8E1569B5}"/>
            </a:ext>
          </a:extLst>
        </xdr:cNvPr>
        <xdr:cNvCxnSpPr/>
      </xdr:nvCxnSpPr>
      <xdr:spPr>
        <a:xfrm>
          <a:off x="179915" y="6806137"/>
          <a:ext cx="0" cy="2727307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179915</xdr:colOff>
      <xdr:row>41</xdr:row>
      <xdr:rowOff>106887</xdr:rowOff>
    </xdr:from>
    <xdr:to>
      <xdr:col>0</xdr:col>
      <xdr:colOff>179915</xdr:colOff>
      <xdr:row>58</xdr:row>
      <xdr:rowOff>139758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7D6FD8AF-FAB4-4976-BF11-4ABDA85DB007}"/>
            </a:ext>
          </a:extLst>
        </xdr:cNvPr>
        <xdr:cNvCxnSpPr/>
      </xdr:nvCxnSpPr>
      <xdr:spPr>
        <a:xfrm>
          <a:off x="179915" y="6806137"/>
          <a:ext cx="0" cy="273162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445560</xdr:colOff>
      <xdr:row>89</xdr:row>
      <xdr:rowOff>53976</xdr:rowOff>
    </xdr:from>
    <xdr:to>
      <xdr:col>28</xdr:col>
      <xdr:colOff>648760</xdr:colOff>
      <xdr:row>115</xdr:row>
      <xdr:rowOff>1830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387908A3-5EA0-4E53-85DF-6CD6B9D7EC0D}"/>
            </a:ext>
          </a:extLst>
        </xdr:cNvPr>
        <xdr:cNvGrpSpPr/>
      </xdr:nvGrpSpPr>
      <xdr:grpSpPr>
        <a:xfrm>
          <a:off x="25344704" y="14901070"/>
          <a:ext cx="10010775" cy="4281729"/>
          <a:chOff x="25172460" y="14973301"/>
          <a:chExt cx="10033000" cy="4151554"/>
        </a:xfrm>
      </xdr:grpSpPr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AA2C76EB-2D1F-4503-A62F-C9EDEA264304}"/>
              </a:ext>
            </a:extLst>
          </xdr:cNvPr>
          <xdr:cNvGraphicFramePr>
            <a:graphicFrameLocks/>
          </xdr:cNvGraphicFramePr>
        </xdr:nvGraphicFramePr>
        <xdr:xfrm>
          <a:off x="25172460" y="14973301"/>
          <a:ext cx="10033000" cy="41515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EF32B335-0EB8-411A-B580-94ED96F9E896}"/>
              </a:ext>
            </a:extLst>
          </xdr:cNvPr>
          <xdr:cNvSpPr/>
        </xdr:nvSpPr>
        <xdr:spPr>
          <a:xfrm>
            <a:off x="26022886" y="16069659"/>
            <a:ext cx="1840392" cy="362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 b="1" u="sng">
                <a:solidFill>
                  <a:schemeClr val="tx1"/>
                </a:solidFill>
              </a:rPr>
              <a:t>5 Year Plan</a:t>
            </a:r>
          </a:p>
        </xdr:txBody>
      </xdr:sp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5811277B-8A1D-4017-809F-CC593BCABFF6}"/>
              </a:ext>
            </a:extLst>
          </xdr:cNvPr>
          <xdr:cNvCxnSpPr/>
        </xdr:nvCxnSpPr>
        <xdr:spPr>
          <a:xfrm>
            <a:off x="27878472" y="16089297"/>
            <a:ext cx="0" cy="2424940"/>
          </a:xfrm>
          <a:prstGeom prst="line">
            <a:avLst/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6C236DD0-0261-4911-B03A-324DEAB78062}"/>
              </a:ext>
            </a:extLst>
          </xdr:cNvPr>
          <xdr:cNvSpPr/>
        </xdr:nvSpPr>
        <xdr:spPr>
          <a:xfrm>
            <a:off x="27857984" y="16090163"/>
            <a:ext cx="6956136" cy="34929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 b="1" u="sng">
                <a:solidFill>
                  <a:schemeClr val="tx1"/>
                </a:solidFill>
              </a:rPr>
              <a:t>Remaining Years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279176</xdr:colOff>
      <xdr:row>11</xdr:row>
      <xdr:rowOff>70754</xdr:rowOff>
    </xdr:from>
    <xdr:to>
      <xdr:col>1</xdr:col>
      <xdr:colOff>1693865</xdr:colOff>
      <xdr:row>13</xdr:row>
      <xdr:rowOff>47624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9D9B276-A0A9-4067-AEDC-459911B00DF1}"/>
            </a:ext>
          </a:extLst>
        </xdr:cNvPr>
        <xdr:cNvSpPr/>
      </xdr:nvSpPr>
      <xdr:spPr>
        <a:xfrm>
          <a:off x="1053082" y="2047192"/>
          <a:ext cx="1414689" cy="33405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400" b="1">
              <a:solidFill>
                <a:schemeClr val="tx1"/>
              </a:solidFill>
            </a:rPr>
            <a:t>Risk Calculation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711201</xdr:colOff>
      <xdr:row>7</xdr:row>
      <xdr:rowOff>22224</xdr:rowOff>
    </xdr:from>
    <xdr:to>
      <xdr:col>2</xdr:col>
      <xdr:colOff>809626</xdr:colOff>
      <xdr:row>9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EC070E7-DECA-46BF-A636-73E670006F03}"/>
            </a:ext>
          </a:extLst>
        </xdr:cNvPr>
        <xdr:cNvSpPr/>
      </xdr:nvSpPr>
      <xdr:spPr>
        <a:xfrm>
          <a:off x="711201" y="14185899"/>
          <a:ext cx="2108200" cy="33972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400" b="1">
              <a:solidFill>
                <a:schemeClr val="tx1"/>
              </a:solidFill>
            </a:rPr>
            <a:t>Unit Costs x Quantities</a:t>
          </a:r>
        </a:p>
      </xdr:txBody>
    </xdr:sp>
    <xdr:clientData/>
  </xdr:twoCellAnchor>
  <xdr:twoCellAnchor>
    <xdr:from>
      <xdr:col>0</xdr:col>
      <xdr:colOff>968375</xdr:colOff>
      <xdr:row>33</xdr:row>
      <xdr:rowOff>3174</xdr:rowOff>
    </xdr:from>
    <xdr:to>
      <xdr:col>3</xdr:col>
      <xdr:colOff>266700</xdr:colOff>
      <xdr:row>34</xdr:row>
      <xdr:rowOff>158750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8DAC40C-49DF-4369-B1FE-21827586BACC}"/>
            </a:ext>
          </a:extLst>
        </xdr:cNvPr>
        <xdr:cNvSpPr/>
      </xdr:nvSpPr>
      <xdr:spPr>
        <a:xfrm>
          <a:off x="968375" y="18891249"/>
          <a:ext cx="2346325" cy="33655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400" b="1">
              <a:solidFill>
                <a:schemeClr val="tx1"/>
              </a:solidFill>
            </a:rPr>
            <a:t>Quantities from AMFP 2019</a:t>
          </a:r>
        </a:p>
      </xdr:txBody>
    </xdr:sp>
    <xdr:clientData/>
  </xdr:twoCellAnchor>
  <xdr:twoCellAnchor>
    <xdr:from>
      <xdr:col>11</xdr:col>
      <xdr:colOff>215900</xdr:colOff>
      <xdr:row>35</xdr:row>
      <xdr:rowOff>9522</xdr:rowOff>
    </xdr:from>
    <xdr:to>
      <xdr:col>13</xdr:col>
      <xdr:colOff>120650</xdr:colOff>
      <xdr:row>40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8BFA04D-89D0-4216-BC50-97BC70A4BC9C}"/>
            </a:ext>
          </a:extLst>
        </xdr:cNvPr>
        <xdr:cNvSpPr/>
      </xdr:nvSpPr>
      <xdr:spPr>
        <a:xfrm>
          <a:off x="11569700" y="19269072"/>
          <a:ext cx="1981200" cy="8953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chemeClr val="tx1"/>
              </a:solidFill>
            </a:rPr>
            <a:t>Bearings adjusted to respect average replacement over</a:t>
          </a:r>
          <a:r>
            <a:rPr lang="en-GB" sz="1200" b="1" baseline="0">
              <a:solidFill>
                <a:schemeClr val="tx1"/>
              </a:solidFill>
            </a:rPr>
            <a:t> the contract years</a:t>
          </a:r>
          <a:r>
            <a:rPr lang="en-GB" sz="1200" b="1">
              <a:solidFill>
                <a:schemeClr val="tx1"/>
              </a:solidFill>
            </a:rPr>
            <a:t> !!!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21169</xdr:colOff>
      <xdr:row>32</xdr:row>
      <xdr:rowOff>28575</xdr:rowOff>
    </xdr:from>
    <xdr:to>
      <xdr:col>28</xdr:col>
      <xdr:colOff>985310</xdr:colOff>
      <xdr:row>35</xdr:row>
      <xdr:rowOff>28576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BA1DA8F-E22A-412B-993C-49785E7C4CA2}"/>
            </a:ext>
          </a:extLst>
        </xdr:cNvPr>
        <xdr:cNvSpPr/>
      </xdr:nvSpPr>
      <xdr:spPr>
        <a:xfrm>
          <a:off x="28130502" y="5944658"/>
          <a:ext cx="4202641" cy="53975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400" b="1">
              <a:solidFill>
                <a:schemeClr val="tx1"/>
              </a:solidFill>
            </a:rPr>
            <a:t>Keep Average yearly inlay</a:t>
          </a:r>
          <a:r>
            <a:rPr lang="en-GB" sz="1400" b="1" baseline="0">
              <a:solidFill>
                <a:schemeClr val="tx1"/>
              </a:solidFill>
            </a:rPr>
            <a:t> quantities &lt; 140 000 linear m</a:t>
          </a:r>
          <a:endParaRPr lang="en-GB" sz="1400" b="1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ement.nicolas/AppData/Local/Microsoft/Windows/INetCache/Content.Outlook/I7X1XL1S/30Y_AMPlan_2020_21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YP_2020-21"/>
      <sheetName val="Estimated Expenditure"/>
      <sheetName val="Structures"/>
      <sheetName val="Adjustment"/>
      <sheetName val="Pavement"/>
      <sheetName val="5YP Impact - Adjustment"/>
    </sheetNames>
    <sheetDataSet>
      <sheetData sheetId="0" refreshError="1"/>
      <sheetData sheetId="1">
        <row r="6">
          <cell r="G6">
            <v>16113331.340512855</v>
          </cell>
          <cell r="H6">
            <v>17493117.027980857</v>
          </cell>
          <cell r="I6">
            <v>24503969.585995857</v>
          </cell>
          <cell r="J6">
            <v>19288640.730843857</v>
          </cell>
          <cell r="K6">
            <v>11951717.958580857</v>
          </cell>
          <cell r="L6">
            <v>14207356.610000856</v>
          </cell>
          <cell r="M6">
            <v>18115421.964170855</v>
          </cell>
          <cell r="N6">
            <v>17214024.457220852</v>
          </cell>
          <cell r="O6">
            <v>33106229.055498857</v>
          </cell>
          <cell r="P6">
            <v>24179231.592630859</v>
          </cell>
          <cell r="Q6">
            <v>18043587.408980854</v>
          </cell>
          <cell r="R6">
            <v>17089108.847060859</v>
          </cell>
          <cell r="S6">
            <v>18230006.394245852</v>
          </cell>
          <cell r="T6">
            <v>24796601.456400856</v>
          </cell>
          <cell r="U6">
            <v>17397638.918219857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lement Nicolas" id="{050CFBBB-786A-4013-884B-AB7F36099F7F}" userId="S::clement.nicolas@connectplusm25.co.uk::5b88218c-7a08-4eeb-9905-51afcdaa461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3" dT="2020-01-29T19:41:55.23" personId="{050CFBBB-786A-4013-884B-AB7F36099F7F}" id="{17F240C3-ED5B-487F-B645-A04162CF8943}">
    <text>Soft Estate not included !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2" dT="2020-01-29T14:45:37.58" personId="{050CFBBB-786A-4013-884B-AB7F36099F7F}" id="{7C8C8536-B66E-4328-AE1D-B32B654C501A}">
    <text>Number of Bearings Adjusted</text>
  </threadedComment>
  <threadedComment ref="F42" dT="2020-01-29T14:45:26.79" personId="{050CFBBB-786A-4013-884B-AB7F36099F7F}" id="{D1AAFF02-D04A-43AC-8A08-B0731604423A}">
    <text>Number of Bearings Adjusted</text>
  </threadedComment>
  <threadedComment ref="I42" dT="2020-01-29T14:45:05.91" personId="{050CFBBB-786A-4013-884B-AB7F36099F7F}" id="{783B3865-FFA2-4689-92CA-A7B9A8782ED1}">
    <text>Number of Bearings Adjusted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172"/>
  <sheetViews>
    <sheetView view="pageBreakPreview" topLeftCell="A94" zoomScale="60" zoomScaleNormal="40" workbookViewId="0">
      <selection activeCell="D129" sqref="D129"/>
    </sheetView>
  </sheetViews>
  <sheetFormatPr defaultRowHeight="14.5" x14ac:dyDescent="0.35"/>
  <cols>
    <col min="1" max="1" width="43" customWidth="1"/>
    <col min="2" max="2" width="82" customWidth="1"/>
    <col min="3" max="3" width="17.7265625" customWidth="1"/>
    <col min="4" max="4" width="14.54296875" bestFit="1" customWidth="1"/>
    <col min="5" max="22" width="12.26953125" bestFit="1" customWidth="1"/>
    <col min="23" max="31" width="12.26953125" customWidth="1"/>
    <col min="32" max="32" width="12.26953125" bestFit="1" customWidth="1"/>
    <col min="33" max="34" width="12.26953125" customWidth="1"/>
  </cols>
  <sheetData>
    <row r="1" spans="1:34" ht="23" x14ac:dyDescent="0.35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494" t="s">
        <v>0</v>
      </c>
      <c r="N1" s="494"/>
      <c r="O1" s="494"/>
      <c r="P1" s="494"/>
      <c r="Q1" s="494"/>
      <c r="R1" s="494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" thickBot="1" x14ac:dyDescent="0.4">
      <c r="A2" s="3"/>
      <c r="B2" s="4"/>
      <c r="C2" s="5"/>
      <c r="D2" s="6">
        <v>43922</v>
      </c>
      <c r="E2" s="6">
        <v>44287</v>
      </c>
      <c r="F2" s="6">
        <v>44652</v>
      </c>
      <c r="G2" s="6">
        <v>45017</v>
      </c>
      <c r="H2" s="6">
        <v>45383</v>
      </c>
      <c r="I2" s="6">
        <v>45748</v>
      </c>
      <c r="J2" s="6">
        <v>46113</v>
      </c>
      <c r="K2" s="6">
        <v>46478</v>
      </c>
      <c r="L2" s="6">
        <v>46844</v>
      </c>
      <c r="M2" s="6">
        <v>47209</v>
      </c>
      <c r="N2" s="6">
        <v>47574</v>
      </c>
      <c r="O2" s="6">
        <v>47939</v>
      </c>
      <c r="P2" s="6">
        <v>48305</v>
      </c>
      <c r="Q2" s="6">
        <v>48670</v>
      </c>
      <c r="R2" s="6">
        <v>49035</v>
      </c>
      <c r="S2" s="6">
        <v>49400</v>
      </c>
      <c r="T2" s="6">
        <v>49766</v>
      </c>
      <c r="U2" s="6">
        <v>50131</v>
      </c>
      <c r="V2" s="6">
        <v>50496</v>
      </c>
      <c r="W2" s="6">
        <v>50861</v>
      </c>
      <c r="X2" s="6">
        <v>51227</v>
      </c>
      <c r="Y2" s="6">
        <v>51592</v>
      </c>
      <c r="Z2" s="6">
        <v>51957</v>
      </c>
      <c r="AA2" s="6">
        <v>52322</v>
      </c>
      <c r="AB2" s="6">
        <v>52688</v>
      </c>
      <c r="AC2" s="6">
        <v>53053</v>
      </c>
      <c r="AD2" s="6">
        <v>53418</v>
      </c>
      <c r="AE2" s="6">
        <v>53783</v>
      </c>
      <c r="AF2" s="6">
        <v>54149</v>
      </c>
      <c r="AG2" s="6">
        <v>54514</v>
      </c>
      <c r="AH2" s="37"/>
    </row>
    <row r="3" spans="1:34" ht="15" thickBot="1" x14ac:dyDescent="0.4">
      <c r="A3" s="59"/>
      <c r="B3" s="60"/>
      <c r="C3" s="61"/>
      <c r="D3" s="7">
        <v>44286</v>
      </c>
      <c r="E3" s="7">
        <v>44651</v>
      </c>
      <c r="F3" s="7">
        <v>45016</v>
      </c>
      <c r="G3" s="7">
        <v>45382</v>
      </c>
      <c r="H3" s="7">
        <v>45747</v>
      </c>
      <c r="I3" s="7">
        <v>46112</v>
      </c>
      <c r="J3" s="7">
        <v>46477</v>
      </c>
      <c r="K3" s="7">
        <v>46843</v>
      </c>
      <c r="L3" s="7">
        <v>47208</v>
      </c>
      <c r="M3" s="7">
        <v>47573</v>
      </c>
      <c r="N3" s="7">
        <v>47938</v>
      </c>
      <c r="O3" s="7">
        <v>48304</v>
      </c>
      <c r="P3" s="7">
        <v>48669</v>
      </c>
      <c r="Q3" s="7">
        <v>49034</v>
      </c>
      <c r="R3" s="7">
        <v>49399</v>
      </c>
      <c r="S3" s="7">
        <v>49765</v>
      </c>
      <c r="T3" s="7">
        <v>50130</v>
      </c>
      <c r="U3" s="7">
        <v>50495</v>
      </c>
      <c r="V3" s="7">
        <v>50860</v>
      </c>
      <c r="W3" s="7">
        <v>51226</v>
      </c>
      <c r="X3" s="7">
        <v>51591</v>
      </c>
      <c r="Y3" s="7">
        <v>51956</v>
      </c>
      <c r="Z3" s="7">
        <v>52321</v>
      </c>
      <c r="AA3" s="7">
        <v>52687</v>
      </c>
      <c r="AB3" s="7">
        <v>53052</v>
      </c>
      <c r="AC3" s="7">
        <v>53417</v>
      </c>
      <c r="AD3" s="7">
        <v>53782</v>
      </c>
      <c r="AE3" s="7">
        <v>54148</v>
      </c>
      <c r="AF3" s="7">
        <v>54513</v>
      </c>
      <c r="AG3" s="7">
        <v>54878</v>
      </c>
      <c r="AH3" s="37"/>
    </row>
    <row r="4" spans="1:34" ht="15" thickBot="1" x14ac:dyDescent="0.4">
      <c r="A4" s="59" t="s">
        <v>1</v>
      </c>
      <c r="B4" s="60" t="s">
        <v>2</v>
      </c>
      <c r="C4" s="61" t="s">
        <v>3</v>
      </c>
      <c r="D4" s="55">
        <v>12</v>
      </c>
      <c r="E4" s="55">
        <v>13</v>
      </c>
      <c r="F4" s="55">
        <v>14</v>
      </c>
      <c r="G4" s="55">
        <v>15</v>
      </c>
      <c r="H4" s="55">
        <v>16</v>
      </c>
      <c r="I4" s="55">
        <v>17</v>
      </c>
      <c r="J4" s="55">
        <v>18</v>
      </c>
      <c r="K4" s="55">
        <v>19</v>
      </c>
      <c r="L4" s="55">
        <v>20</v>
      </c>
      <c r="M4" s="55">
        <v>21</v>
      </c>
      <c r="N4" s="55">
        <v>22</v>
      </c>
      <c r="O4" s="55">
        <v>23</v>
      </c>
      <c r="P4" s="55">
        <v>24</v>
      </c>
      <c r="Q4" s="55">
        <v>25</v>
      </c>
      <c r="R4" s="55">
        <v>26</v>
      </c>
      <c r="S4" s="55">
        <v>27</v>
      </c>
      <c r="T4" s="55">
        <v>28</v>
      </c>
      <c r="U4" s="55">
        <v>29</v>
      </c>
      <c r="V4" s="55">
        <v>30</v>
      </c>
      <c r="W4" s="8">
        <v>31</v>
      </c>
      <c r="X4" s="8">
        <v>32</v>
      </c>
      <c r="Y4" s="8">
        <v>33</v>
      </c>
      <c r="Z4" s="8">
        <v>34</v>
      </c>
      <c r="AA4" s="8">
        <v>35</v>
      </c>
      <c r="AB4" s="8">
        <v>36</v>
      </c>
      <c r="AC4" s="8">
        <v>37</v>
      </c>
      <c r="AD4" s="8">
        <v>38</v>
      </c>
      <c r="AE4" s="8">
        <v>39</v>
      </c>
      <c r="AF4" s="8">
        <v>40</v>
      </c>
      <c r="AG4" s="8">
        <v>41</v>
      </c>
      <c r="AH4" s="38"/>
    </row>
    <row r="5" spans="1:34" x14ac:dyDescent="0.35">
      <c r="A5" s="377" t="s">
        <v>4</v>
      </c>
      <c r="B5" s="378" t="s">
        <v>127</v>
      </c>
      <c r="C5" s="379" t="s">
        <v>5</v>
      </c>
      <c r="D5" s="380">
        <v>6294</v>
      </c>
      <c r="E5" s="381">
        <v>380.23599999999988</v>
      </c>
      <c r="F5" s="381">
        <v>2219.8209999999999</v>
      </c>
      <c r="G5" s="381">
        <v>676.04099999999994</v>
      </c>
      <c r="H5" s="381">
        <v>230.0329999999999</v>
      </c>
      <c r="I5" s="381">
        <v>0</v>
      </c>
      <c r="J5" s="381">
        <v>0</v>
      </c>
      <c r="K5" s="381">
        <v>0</v>
      </c>
      <c r="L5" s="381">
        <v>0</v>
      </c>
      <c r="M5" s="381">
        <v>0</v>
      </c>
      <c r="N5" s="381">
        <v>0</v>
      </c>
      <c r="O5" s="381">
        <v>0</v>
      </c>
      <c r="P5" s="381">
        <v>0</v>
      </c>
      <c r="Q5" s="381">
        <v>0</v>
      </c>
      <c r="R5" s="381">
        <v>0</v>
      </c>
      <c r="S5" s="381">
        <v>0</v>
      </c>
      <c r="T5" s="381">
        <v>0</v>
      </c>
      <c r="U5" s="381">
        <v>0</v>
      </c>
      <c r="V5" s="382">
        <v>0</v>
      </c>
      <c r="W5" s="383">
        <v>0</v>
      </c>
      <c r="X5" s="384">
        <f>Pavement!W4</f>
        <v>76466.293483205271</v>
      </c>
      <c r="Y5" s="384">
        <f>Pavement!X4</f>
        <v>48971.828210774125</v>
      </c>
      <c r="Z5" s="384">
        <f>Pavement!Y4</f>
        <v>43965.867469285491</v>
      </c>
      <c r="AA5" s="384">
        <f>Pavement!Z4</f>
        <v>42722.107887329759</v>
      </c>
      <c r="AB5" s="384">
        <f>Pavement!AA4</f>
        <v>35849.297168163423</v>
      </c>
      <c r="AC5" s="384">
        <f>Pavement!AB4</f>
        <v>35450.929546832871</v>
      </c>
      <c r="AD5" s="384">
        <f>Pavement!AC4</f>
        <v>19611.953407641322</v>
      </c>
      <c r="AE5" s="384">
        <f>Pavement!AD4</f>
        <v>229.31040999211297</v>
      </c>
      <c r="AF5" s="384">
        <f>Pavement!AE4</f>
        <v>306.78527651382694</v>
      </c>
      <c r="AG5" s="385">
        <v>306.78527651382694</v>
      </c>
      <c r="AH5" s="39"/>
    </row>
    <row r="6" spans="1:34" x14ac:dyDescent="0.35">
      <c r="A6" s="377" t="s">
        <v>4</v>
      </c>
      <c r="B6" s="378" t="s">
        <v>6</v>
      </c>
      <c r="C6" s="379" t="s">
        <v>5</v>
      </c>
      <c r="D6" s="386">
        <v>54850</v>
      </c>
      <c r="E6" s="387">
        <v>92711.322000000146</v>
      </c>
      <c r="F6" s="387">
        <v>114030.19999999987</v>
      </c>
      <c r="G6" s="387">
        <v>71883.571999999986</v>
      </c>
      <c r="H6" s="387">
        <v>141611.16499999983</v>
      </c>
      <c r="I6" s="387">
        <v>43888.25700000002</v>
      </c>
      <c r="J6" s="387">
        <v>165547.12300000008</v>
      </c>
      <c r="K6" s="387">
        <v>141055.3629999999</v>
      </c>
      <c r="L6" s="387">
        <v>375700.8109999997</v>
      </c>
      <c r="M6" s="387">
        <v>165128.4736049996</v>
      </c>
      <c r="N6" s="387">
        <v>176735.68860499968</v>
      </c>
      <c r="O6" s="387">
        <v>103039.95599999989</v>
      </c>
      <c r="P6" s="387">
        <v>153036.39799999961</v>
      </c>
      <c r="Q6" s="387">
        <v>190370.8966049992</v>
      </c>
      <c r="R6" s="387">
        <v>157004.41960499971</v>
      </c>
      <c r="S6" s="387">
        <v>65532.573605000005</v>
      </c>
      <c r="T6" s="387">
        <v>97272.051605000044</v>
      </c>
      <c r="U6" s="387">
        <v>69503.827604999911</v>
      </c>
      <c r="V6" s="388">
        <v>100558.29299999993</v>
      </c>
      <c r="W6" s="383">
        <v>38633.316605</v>
      </c>
      <c r="X6" s="384">
        <f>Pavement!W5</f>
        <v>184062.67364072148</v>
      </c>
      <c r="Y6" s="384">
        <f>Pavement!X5</f>
        <v>134670.10291675184</v>
      </c>
      <c r="Z6" s="384">
        <f>Pavement!Y5</f>
        <v>140833.98503262745</v>
      </c>
      <c r="AA6" s="384">
        <f>Pavement!Z5</f>
        <v>121141.17473937962</v>
      </c>
      <c r="AB6" s="384">
        <f>Pavement!AA5</f>
        <v>106682.95643108388</v>
      </c>
      <c r="AC6" s="384">
        <f>Pavement!AB5</f>
        <v>101758.28693481212</v>
      </c>
      <c r="AD6" s="384">
        <f>Pavement!AC5</f>
        <v>41354.622581980024</v>
      </c>
      <c r="AE6" s="384">
        <f>Pavement!AD5</f>
        <v>2072.2752136256936</v>
      </c>
      <c r="AF6" s="384">
        <f>Pavement!AE5</f>
        <v>229.65574890484427</v>
      </c>
      <c r="AG6" s="385">
        <v>229.65574890484427</v>
      </c>
      <c r="AH6" s="39"/>
    </row>
    <row r="7" spans="1:34" x14ac:dyDescent="0.35">
      <c r="A7" s="377" t="s">
        <v>4</v>
      </c>
      <c r="B7" s="378" t="s">
        <v>7</v>
      </c>
      <c r="C7" s="379" t="s">
        <v>5</v>
      </c>
      <c r="D7" s="386">
        <v>19752</v>
      </c>
      <c r="E7" s="387">
        <v>24342.095000000012</v>
      </c>
      <c r="F7" s="387">
        <v>28787.893999999997</v>
      </c>
      <c r="G7" s="387">
        <v>41817.713000000018</v>
      </c>
      <c r="H7" s="387">
        <v>28706.470000000005</v>
      </c>
      <c r="I7" s="387">
        <v>322.48199999999997</v>
      </c>
      <c r="J7" s="387">
        <v>719.39900000000011</v>
      </c>
      <c r="K7" s="387">
        <v>1195.1890000000003</v>
      </c>
      <c r="L7" s="387">
        <v>2894.7570000000005</v>
      </c>
      <c r="M7" s="387">
        <v>1057.6551235714285</v>
      </c>
      <c r="N7" s="387">
        <v>1057.6551235714285</v>
      </c>
      <c r="O7" s="387">
        <v>100.80800000000011</v>
      </c>
      <c r="P7" s="387">
        <v>10.617000000000004</v>
      </c>
      <c r="Q7" s="387">
        <v>1057.6551235714285</v>
      </c>
      <c r="R7" s="387">
        <v>1057.6551235714285</v>
      </c>
      <c r="S7" s="387">
        <v>1057.6551235714285</v>
      </c>
      <c r="T7" s="387">
        <v>1057.6551235714285</v>
      </c>
      <c r="U7" s="387">
        <v>1057.6551235714285</v>
      </c>
      <c r="V7" s="388">
        <v>83.345000000000027</v>
      </c>
      <c r="W7" s="383">
        <v>1057.6551235714285</v>
      </c>
      <c r="X7" s="384">
        <f>Pavement!W6</f>
        <v>26955.02900750942</v>
      </c>
      <c r="Y7" s="384">
        <f>Pavement!X6</f>
        <v>16453.621079947698</v>
      </c>
      <c r="Z7" s="384">
        <f>Pavement!Y6</f>
        <v>18611.38839480911</v>
      </c>
      <c r="AA7" s="384">
        <f>Pavement!Z6</f>
        <v>12518.206363406671</v>
      </c>
      <c r="AB7" s="384">
        <f>Pavement!AA6</f>
        <v>11635.345898169924</v>
      </c>
      <c r="AC7" s="384">
        <f>Pavement!AB6</f>
        <v>9768.0201202124808</v>
      </c>
      <c r="AD7" s="384">
        <f>Pavement!AC6</f>
        <v>10158.324461640623</v>
      </c>
      <c r="AE7" s="384">
        <f>Pavement!AD6</f>
        <v>8509.7839310350555</v>
      </c>
      <c r="AF7" s="384">
        <f>Pavement!AE6</f>
        <v>9010.1746436438189</v>
      </c>
      <c r="AG7" s="385">
        <v>9010.1746436438189</v>
      </c>
      <c r="AH7" s="39"/>
    </row>
    <row r="8" spans="1:34" x14ac:dyDescent="0.35">
      <c r="A8" s="377" t="s">
        <v>4</v>
      </c>
      <c r="B8" s="378" t="s">
        <v>128</v>
      </c>
      <c r="C8" s="379" t="s">
        <v>5</v>
      </c>
      <c r="D8" s="386">
        <v>0</v>
      </c>
      <c r="E8" s="387">
        <v>20771.340999999993</v>
      </c>
      <c r="F8" s="387">
        <v>21211.416999999998</v>
      </c>
      <c r="G8" s="387">
        <v>14708.113000000001</v>
      </c>
      <c r="H8" s="387">
        <v>11865.663000000002</v>
      </c>
      <c r="I8" s="387">
        <v>124601.25000000003</v>
      </c>
      <c r="J8" s="387">
        <v>122034.53300000002</v>
      </c>
      <c r="K8" s="387">
        <v>59879.741999999984</v>
      </c>
      <c r="L8" s="387">
        <v>104428.76299999995</v>
      </c>
      <c r="M8" s="387">
        <v>20238.089000000011</v>
      </c>
      <c r="N8" s="387">
        <v>18366.261999999999</v>
      </c>
      <c r="O8" s="387">
        <v>1852.567</v>
      </c>
      <c r="P8" s="387">
        <v>5862.9279999999981</v>
      </c>
      <c r="Q8" s="387">
        <v>5821.2290000000003</v>
      </c>
      <c r="R8" s="387">
        <v>1871.1859999999997</v>
      </c>
      <c r="S8" s="387">
        <v>35.892999999999972</v>
      </c>
      <c r="T8" s="387">
        <v>10083.837000000001</v>
      </c>
      <c r="U8" s="387">
        <v>32487.786999999971</v>
      </c>
      <c r="V8" s="388">
        <v>59172.881000000089</v>
      </c>
      <c r="W8" s="383">
        <v>6888.23</v>
      </c>
      <c r="X8" s="384">
        <f>Pavement!W7</f>
        <v>27509.881999999954</v>
      </c>
      <c r="Y8" s="384">
        <f>Pavement!X7</f>
        <v>21217.416999999987</v>
      </c>
      <c r="Z8" s="384">
        <f>Pavement!Y7</f>
        <v>649.65499999999986</v>
      </c>
      <c r="AA8" s="384">
        <f>Pavement!Z7</f>
        <v>813.57899999999972</v>
      </c>
      <c r="AB8" s="384">
        <f>Pavement!AA7</f>
        <v>0</v>
      </c>
      <c r="AC8" s="384">
        <f>Pavement!AB7</f>
        <v>9497.7870000000057</v>
      </c>
      <c r="AD8" s="384">
        <f>Pavement!AC7</f>
        <v>799.70699999999977</v>
      </c>
      <c r="AE8" s="384">
        <f>Pavement!AD7</f>
        <v>0</v>
      </c>
      <c r="AF8" s="384">
        <f>Pavement!AE7</f>
        <v>100.25799999999992</v>
      </c>
      <c r="AG8" s="385">
        <v>100.25799999999992</v>
      </c>
      <c r="AH8" s="39"/>
    </row>
    <row r="9" spans="1:34" x14ac:dyDescent="0.35">
      <c r="A9" s="377" t="s">
        <v>4</v>
      </c>
      <c r="B9" s="378" t="s">
        <v>129</v>
      </c>
      <c r="C9" s="379" t="s">
        <v>5</v>
      </c>
      <c r="D9" s="386">
        <v>0</v>
      </c>
      <c r="E9" s="387">
        <v>2943.3430000000008</v>
      </c>
      <c r="F9" s="387">
        <v>3316.85</v>
      </c>
      <c r="G9" s="387">
        <v>5877.139000000001</v>
      </c>
      <c r="H9" s="387">
        <v>1479.6640000000002</v>
      </c>
      <c r="I9" s="387">
        <v>45.143999999999949</v>
      </c>
      <c r="J9" s="387">
        <v>19.34699999999998</v>
      </c>
      <c r="K9" s="387">
        <v>68.437999999999988</v>
      </c>
      <c r="L9" s="387">
        <v>273.69299999999998</v>
      </c>
      <c r="M9" s="387">
        <v>0</v>
      </c>
      <c r="N9" s="387">
        <v>0</v>
      </c>
      <c r="O9" s="387">
        <v>0</v>
      </c>
      <c r="P9" s="387">
        <v>0</v>
      </c>
      <c r="Q9" s="387">
        <v>0</v>
      </c>
      <c r="R9" s="387">
        <v>0</v>
      </c>
      <c r="S9" s="387">
        <v>0</v>
      </c>
      <c r="T9" s="387">
        <v>0</v>
      </c>
      <c r="U9" s="387">
        <v>0</v>
      </c>
      <c r="V9" s="388">
        <v>0</v>
      </c>
      <c r="W9" s="383">
        <v>0</v>
      </c>
      <c r="X9" s="384">
        <f>Pavement!W8</f>
        <v>7215.5639999999985</v>
      </c>
      <c r="Y9" s="384">
        <f>Pavement!X8</f>
        <v>6961.9129999999996</v>
      </c>
      <c r="Z9" s="384">
        <f>Pavement!Y8</f>
        <v>9324.0399999999972</v>
      </c>
      <c r="AA9" s="384">
        <f>Pavement!Z8</f>
        <v>1256.5079999999996</v>
      </c>
      <c r="AB9" s="384">
        <f>Pavement!AA8</f>
        <v>1897.5749999999996</v>
      </c>
      <c r="AC9" s="384">
        <f>Pavement!AB8</f>
        <v>1199.163</v>
      </c>
      <c r="AD9" s="384">
        <f>Pavement!AC8</f>
        <v>761.89999999999975</v>
      </c>
      <c r="AE9" s="384">
        <f>Pavement!AD8</f>
        <v>0</v>
      </c>
      <c r="AF9" s="384">
        <f>Pavement!AE8</f>
        <v>600.97899999999993</v>
      </c>
      <c r="AG9" s="385">
        <v>600.97899999999993</v>
      </c>
      <c r="AH9" s="39"/>
    </row>
    <row r="10" spans="1:34" x14ac:dyDescent="0.35">
      <c r="A10" s="377" t="s">
        <v>4</v>
      </c>
      <c r="B10" s="378" t="s">
        <v>130</v>
      </c>
      <c r="C10" s="379" t="s">
        <v>5</v>
      </c>
      <c r="D10" s="386">
        <v>0</v>
      </c>
      <c r="E10" s="387">
        <v>0</v>
      </c>
      <c r="F10" s="387">
        <v>0</v>
      </c>
      <c r="G10" s="387">
        <v>0</v>
      </c>
      <c r="H10" s="387">
        <v>0</v>
      </c>
      <c r="I10" s="387">
        <v>16668.230500000001</v>
      </c>
      <c r="J10" s="387">
        <v>16668.230500000001</v>
      </c>
      <c r="K10" s="387">
        <v>16706.1155</v>
      </c>
      <c r="L10" s="387">
        <v>16668.230500000001</v>
      </c>
      <c r="M10" s="387">
        <v>16680.8475</v>
      </c>
      <c r="N10" s="387">
        <v>16684.529500000001</v>
      </c>
      <c r="O10" s="387">
        <v>16768.622500000001</v>
      </c>
      <c r="P10" s="387">
        <v>16676.424500000001</v>
      </c>
      <c r="Q10" s="387">
        <v>16712.5785</v>
      </c>
      <c r="R10" s="387">
        <v>16684.094499999999</v>
      </c>
      <c r="S10" s="387">
        <v>16683.480500000001</v>
      </c>
      <c r="T10" s="387">
        <v>16695.817500000001</v>
      </c>
      <c r="U10" s="387">
        <v>16670.230500000001</v>
      </c>
      <c r="V10" s="388">
        <v>16686.212500000001</v>
      </c>
      <c r="W10" s="383">
        <v>16669.124500000002</v>
      </c>
      <c r="X10" s="384">
        <f>Pavement!W9</f>
        <v>17352.961000000007</v>
      </c>
      <c r="Y10" s="384">
        <f>Pavement!X9</f>
        <v>25492.732000000011</v>
      </c>
      <c r="Z10" s="384">
        <f>Pavement!Y9</f>
        <v>13704.843000000015</v>
      </c>
      <c r="AA10" s="384">
        <f>Pavement!Z9</f>
        <v>18944.685000000019</v>
      </c>
      <c r="AB10" s="384">
        <f>Pavement!AA9</f>
        <v>7783.4369999999972</v>
      </c>
      <c r="AC10" s="384">
        <f>Pavement!AB9</f>
        <v>5254.2329999999974</v>
      </c>
      <c r="AD10" s="384">
        <f>Pavement!AC9</f>
        <v>4587.2900000000009</v>
      </c>
      <c r="AE10" s="384">
        <f>Pavement!AD9</f>
        <v>911.57399999999973</v>
      </c>
      <c r="AF10" s="384">
        <f>Pavement!AE9</f>
        <v>15.152999999999906</v>
      </c>
      <c r="AG10" s="385">
        <v>15.152999999999906</v>
      </c>
      <c r="AH10" s="39"/>
    </row>
    <row r="11" spans="1:34" x14ac:dyDescent="0.35">
      <c r="A11" s="377" t="s">
        <v>4</v>
      </c>
      <c r="B11" s="378" t="s">
        <v>131</v>
      </c>
      <c r="C11" s="379" t="s">
        <v>5</v>
      </c>
      <c r="D11" s="386">
        <v>0</v>
      </c>
      <c r="E11" s="387">
        <v>0</v>
      </c>
      <c r="F11" s="387">
        <v>0</v>
      </c>
      <c r="G11" s="387">
        <v>0</v>
      </c>
      <c r="H11" s="387">
        <v>0</v>
      </c>
      <c r="I11" s="387">
        <v>16274.409999999996</v>
      </c>
      <c r="J11" s="387">
        <v>2800.9959999999996</v>
      </c>
      <c r="K11" s="387">
        <v>2289.556</v>
      </c>
      <c r="L11" s="387">
        <v>1590.604</v>
      </c>
      <c r="M11" s="387">
        <v>16668.230500000001</v>
      </c>
      <c r="N11" s="387">
        <v>16668.230500000001</v>
      </c>
      <c r="O11" s="387">
        <v>16668.230500000001</v>
      </c>
      <c r="P11" s="387">
        <v>16706.1155</v>
      </c>
      <c r="Q11" s="387">
        <v>16668.230500000001</v>
      </c>
      <c r="R11" s="387">
        <v>16680.8475</v>
      </c>
      <c r="S11" s="387">
        <v>16684.529500000001</v>
      </c>
      <c r="T11" s="387">
        <v>16768.622500000001</v>
      </c>
      <c r="U11" s="387">
        <v>16676.424500000001</v>
      </c>
      <c r="V11" s="388">
        <v>16712.5785</v>
      </c>
      <c r="W11" s="383">
        <v>16684.094499999999</v>
      </c>
      <c r="X11" s="384">
        <f>Pavement!W10</f>
        <v>0</v>
      </c>
      <c r="Y11" s="384">
        <f>Pavement!X10</f>
        <v>0</v>
      </c>
      <c r="Z11" s="384">
        <f>Pavement!Y10</f>
        <v>0</v>
      </c>
      <c r="AA11" s="384">
        <f>Pavement!Z10</f>
        <v>0</v>
      </c>
      <c r="AB11" s="384">
        <f>Pavement!AA10</f>
        <v>0</v>
      </c>
      <c r="AC11" s="384">
        <f>Pavement!AB10</f>
        <v>0</v>
      </c>
      <c r="AD11" s="384">
        <f>Pavement!AC10</f>
        <v>0</v>
      </c>
      <c r="AE11" s="384">
        <f>Pavement!AD10</f>
        <v>0</v>
      </c>
      <c r="AF11" s="384">
        <f>Pavement!AE10</f>
        <v>0</v>
      </c>
      <c r="AG11" s="385">
        <v>0</v>
      </c>
      <c r="AH11" s="39"/>
    </row>
    <row r="12" spans="1:34" x14ac:dyDescent="0.35">
      <c r="A12" s="377" t="s">
        <v>4</v>
      </c>
      <c r="B12" s="378" t="s">
        <v>132</v>
      </c>
      <c r="C12" s="379" t="s">
        <v>5</v>
      </c>
      <c r="D12" s="386">
        <v>7140</v>
      </c>
      <c r="E12" s="387">
        <v>6274.1730000000007</v>
      </c>
      <c r="F12" s="387">
        <v>8228.5779999999977</v>
      </c>
      <c r="G12" s="387">
        <v>1861.3319999999999</v>
      </c>
      <c r="H12" s="387">
        <v>1964.4470000000001</v>
      </c>
      <c r="I12" s="387">
        <v>7285.8950000000004</v>
      </c>
      <c r="J12" s="387">
        <v>4944.1660000000011</v>
      </c>
      <c r="K12" s="387">
        <v>5705.9619999999977</v>
      </c>
      <c r="L12" s="387">
        <v>7702.0109999999986</v>
      </c>
      <c r="M12" s="387">
        <v>3072.8109999999997</v>
      </c>
      <c r="N12" s="387">
        <v>3205.9150000000009</v>
      </c>
      <c r="O12" s="387">
        <v>6707.2540000000008</v>
      </c>
      <c r="P12" s="387">
        <v>3695.3560000000002</v>
      </c>
      <c r="Q12" s="387">
        <v>11825.501999999997</v>
      </c>
      <c r="R12" s="387">
        <v>6515.9530000000004</v>
      </c>
      <c r="S12" s="387">
        <v>523.54900000000009</v>
      </c>
      <c r="T12" s="387">
        <v>3549.9049999999993</v>
      </c>
      <c r="U12" s="387">
        <v>3398.4269999999997</v>
      </c>
      <c r="V12" s="388">
        <v>17282.576999999994</v>
      </c>
      <c r="W12" s="383">
        <v>9491.6739999999954</v>
      </c>
      <c r="X12" s="384">
        <f>Pavement!W11</f>
        <v>9068.6359999999968</v>
      </c>
      <c r="Y12" s="384">
        <f>Pavement!X11</f>
        <v>2540.9389999999994</v>
      </c>
      <c r="Z12" s="384">
        <f>Pavement!Y11</f>
        <v>4074.2320000000013</v>
      </c>
      <c r="AA12" s="384">
        <f>Pavement!Z11</f>
        <v>873.27200000000016</v>
      </c>
      <c r="AB12" s="384">
        <f>Pavement!AA11</f>
        <v>2326.8249999999998</v>
      </c>
      <c r="AC12" s="384">
        <f>Pavement!AB11</f>
        <v>7400.3750000000009</v>
      </c>
      <c r="AD12" s="384">
        <f>Pavement!AC11</f>
        <v>5098.3750000000009</v>
      </c>
      <c r="AE12" s="384">
        <f>Pavement!AD11</f>
        <v>1796.066</v>
      </c>
      <c r="AF12" s="384">
        <f>Pavement!AE11</f>
        <v>115.30699999999996</v>
      </c>
      <c r="AG12" s="385">
        <v>115.30699999999996</v>
      </c>
      <c r="AH12" s="39"/>
    </row>
    <row r="13" spans="1:34" x14ac:dyDescent="0.35">
      <c r="A13" s="377" t="s">
        <v>4</v>
      </c>
      <c r="B13" s="378" t="s">
        <v>133</v>
      </c>
      <c r="C13" s="379" t="s">
        <v>5</v>
      </c>
      <c r="D13" s="386">
        <v>680</v>
      </c>
      <c r="E13" s="387">
        <v>54801.813999999998</v>
      </c>
      <c r="F13" s="387">
        <v>3848.2489999999998</v>
      </c>
      <c r="G13" s="387">
        <v>2473.2479999999996</v>
      </c>
      <c r="H13" s="387">
        <v>2476.9770000000008</v>
      </c>
      <c r="I13" s="387">
        <v>0</v>
      </c>
      <c r="J13" s="387">
        <v>0</v>
      </c>
      <c r="K13" s="387">
        <v>0</v>
      </c>
      <c r="L13" s="387">
        <v>0</v>
      </c>
      <c r="M13" s="387">
        <v>0</v>
      </c>
      <c r="N13" s="387">
        <v>0</v>
      </c>
      <c r="O13" s="387">
        <v>0</v>
      </c>
      <c r="P13" s="387">
        <v>0</v>
      </c>
      <c r="Q13" s="387">
        <v>0</v>
      </c>
      <c r="R13" s="387">
        <v>0</v>
      </c>
      <c r="S13" s="387">
        <v>0</v>
      </c>
      <c r="T13" s="387">
        <v>0</v>
      </c>
      <c r="U13" s="387">
        <v>0</v>
      </c>
      <c r="V13" s="388">
        <v>0</v>
      </c>
      <c r="W13" s="383">
        <v>0</v>
      </c>
      <c r="X13" s="384">
        <f>Pavement!W12</f>
        <v>0</v>
      </c>
      <c r="Y13" s="384">
        <f>Pavement!X12</f>
        <v>0</v>
      </c>
      <c r="Z13" s="384">
        <f>Pavement!Y12</f>
        <v>0</v>
      </c>
      <c r="AA13" s="384">
        <f>Pavement!Z12</f>
        <v>0</v>
      </c>
      <c r="AB13" s="384">
        <f>Pavement!AA12</f>
        <v>0</v>
      </c>
      <c r="AC13" s="384">
        <f>Pavement!AB12</f>
        <v>0</v>
      </c>
      <c r="AD13" s="384">
        <f>Pavement!AC12</f>
        <v>0</v>
      </c>
      <c r="AE13" s="384">
        <f>Pavement!AD12</f>
        <v>0</v>
      </c>
      <c r="AF13" s="384">
        <f>Pavement!AE12</f>
        <v>0</v>
      </c>
      <c r="AG13" s="385">
        <v>0</v>
      </c>
      <c r="AH13" s="39"/>
    </row>
    <row r="14" spans="1:34" x14ac:dyDescent="0.35">
      <c r="A14" s="377" t="s">
        <v>4</v>
      </c>
      <c r="B14" s="378" t="s">
        <v>8</v>
      </c>
      <c r="C14" s="379" t="s">
        <v>5</v>
      </c>
      <c r="D14" s="386">
        <v>0</v>
      </c>
      <c r="E14" s="387">
        <v>602.98599999999999</v>
      </c>
      <c r="F14" s="387">
        <v>1485.0309999999999</v>
      </c>
      <c r="G14" s="387">
        <v>1250</v>
      </c>
      <c r="H14" s="387">
        <v>1250</v>
      </c>
      <c r="I14" s="387">
        <v>80.02529999999993</v>
      </c>
      <c r="J14" s="387">
        <v>0</v>
      </c>
      <c r="K14" s="387">
        <v>23.626799999999957</v>
      </c>
      <c r="L14" s="387">
        <v>157.73760000000001</v>
      </c>
      <c r="M14" s="387">
        <v>0</v>
      </c>
      <c r="N14" s="387">
        <v>0</v>
      </c>
      <c r="O14" s="387">
        <v>0</v>
      </c>
      <c r="P14" s="387">
        <v>0</v>
      </c>
      <c r="Q14" s="387">
        <v>0</v>
      </c>
      <c r="R14" s="387">
        <v>0</v>
      </c>
      <c r="S14" s="387">
        <v>0</v>
      </c>
      <c r="T14" s="387">
        <v>0</v>
      </c>
      <c r="U14" s="387">
        <v>0</v>
      </c>
      <c r="V14" s="388">
        <v>0</v>
      </c>
      <c r="W14" s="383">
        <v>0</v>
      </c>
      <c r="X14" s="384">
        <f>Pavement!W13</f>
        <v>0</v>
      </c>
      <c r="Y14" s="384">
        <f>Pavement!X13</f>
        <v>0</v>
      </c>
      <c r="Z14" s="384">
        <f>Pavement!Y13</f>
        <v>0</v>
      </c>
      <c r="AA14" s="384">
        <f>Pavement!Z13</f>
        <v>0</v>
      </c>
      <c r="AB14" s="384">
        <f>Pavement!AA13</f>
        <v>0</v>
      </c>
      <c r="AC14" s="384">
        <f>Pavement!AB13</f>
        <v>0</v>
      </c>
      <c r="AD14" s="384">
        <f>Pavement!AC13</f>
        <v>0</v>
      </c>
      <c r="AE14" s="384">
        <f>Pavement!AD13</f>
        <v>0</v>
      </c>
      <c r="AF14" s="384">
        <f>Pavement!AE13</f>
        <v>0</v>
      </c>
      <c r="AG14" s="385">
        <v>0</v>
      </c>
      <c r="AH14" s="39"/>
    </row>
    <row r="15" spans="1:34" x14ac:dyDescent="0.35">
      <c r="A15" s="377" t="s">
        <v>4</v>
      </c>
      <c r="B15" s="378" t="s">
        <v>134</v>
      </c>
      <c r="C15" s="379" t="s">
        <v>5</v>
      </c>
      <c r="D15" s="386">
        <v>43621</v>
      </c>
      <c r="E15" s="387">
        <v>0</v>
      </c>
      <c r="F15" s="387">
        <v>100.423</v>
      </c>
      <c r="G15" s="387">
        <v>0</v>
      </c>
      <c r="H15" s="387">
        <v>0</v>
      </c>
      <c r="I15" s="387">
        <v>254.7390000000014</v>
      </c>
      <c r="J15" s="387">
        <v>0</v>
      </c>
      <c r="K15" s="387">
        <v>0</v>
      </c>
      <c r="L15" s="387">
        <v>0</v>
      </c>
      <c r="M15" s="387">
        <v>100.54500000001281</v>
      </c>
      <c r="N15" s="387">
        <v>5959.4239999999991</v>
      </c>
      <c r="O15" s="387">
        <v>671.9890000000014</v>
      </c>
      <c r="P15" s="387">
        <v>99.296000000002095</v>
      </c>
      <c r="Q15" s="387">
        <v>1348.265000000014</v>
      </c>
      <c r="R15" s="387">
        <v>0</v>
      </c>
      <c r="S15" s="387">
        <v>0</v>
      </c>
      <c r="T15" s="387">
        <v>99.539000000004307</v>
      </c>
      <c r="U15" s="387">
        <v>6282.3359999999957</v>
      </c>
      <c r="V15" s="388">
        <v>3709.9939999999769</v>
      </c>
      <c r="W15" s="383">
        <v>11145.222999999998</v>
      </c>
      <c r="X15" s="384">
        <f>Pavement!W14</f>
        <v>0</v>
      </c>
      <c r="Y15" s="384">
        <f>Pavement!X14</f>
        <v>0</v>
      </c>
      <c r="Z15" s="384">
        <f>Pavement!Y14</f>
        <v>0</v>
      </c>
      <c r="AA15" s="384">
        <f>Pavement!Z14</f>
        <v>0</v>
      </c>
      <c r="AB15" s="384">
        <f>Pavement!AA14</f>
        <v>0</v>
      </c>
      <c r="AC15" s="384">
        <f>Pavement!AB14</f>
        <v>0</v>
      </c>
      <c r="AD15" s="384">
        <f>Pavement!AC14</f>
        <v>0</v>
      </c>
      <c r="AE15" s="384">
        <f>Pavement!AD14</f>
        <v>0</v>
      </c>
      <c r="AF15" s="384">
        <f>Pavement!AE14</f>
        <v>0</v>
      </c>
      <c r="AG15" s="385">
        <v>0</v>
      </c>
      <c r="AH15" s="39"/>
    </row>
    <row r="16" spans="1:34" x14ac:dyDescent="0.35">
      <c r="A16" s="377" t="s">
        <v>4</v>
      </c>
      <c r="B16" s="378" t="s">
        <v>9</v>
      </c>
      <c r="C16" s="379" t="s">
        <v>10</v>
      </c>
      <c r="D16" s="386">
        <v>3</v>
      </c>
      <c r="E16" s="387">
        <v>3</v>
      </c>
      <c r="F16" s="387">
        <v>3</v>
      </c>
      <c r="G16" s="387">
        <v>3</v>
      </c>
      <c r="H16" s="387">
        <v>3</v>
      </c>
      <c r="I16" s="387">
        <v>1</v>
      </c>
      <c r="J16" s="387">
        <v>1</v>
      </c>
      <c r="K16" s="387">
        <v>1</v>
      </c>
      <c r="L16" s="387">
        <v>1</v>
      </c>
      <c r="M16" s="387">
        <v>1</v>
      </c>
      <c r="N16" s="387">
        <v>1</v>
      </c>
      <c r="O16" s="387">
        <v>1</v>
      </c>
      <c r="P16" s="387">
        <v>1</v>
      </c>
      <c r="Q16" s="387">
        <v>1</v>
      </c>
      <c r="R16" s="387">
        <v>1</v>
      </c>
      <c r="S16" s="387">
        <v>1</v>
      </c>
      <c r="T16" s="387">
        <v>1</v>
      </c>
      <c r="U16" s="387">
        <v>1</v>
      </c>
      <c r="V16" s="388">
        <v>1</v>
      </c>
      <c r="W16" s="383">
        <v>1</v>
      </c>
      <c r="X16" s="384">
        <v>1</v>
      </c>
      <c r="Y16" s="385">
        <v>1</v>
      </c>
      <c r="Z16" s="385">
        <v>1</v>
      </c>
      <c r="AA16" s="385">
        <v>1</v>
      </c>
      <c r="AB16" s="385">
        <v>1</v>
      </c>
      <c r="AC16" s="385">
        <v>1</v>
      </c>
      <c r="AD16" s="385">
        <v>1</v>
      </c>
      <c r="AE16" s="385">
        <v>1</v>
      </c>
      <c r="AF16" s="385">
        <v>1</v>
      </c>
      <c r="AG16" s="385">
        <v>1</v>
      </c>
      <c r="AH16" s="39"/>
    </row>
    <row r="17" spans="1:34" ht="14.5" customHeight="1" x14ac:dyDescent="0.35">
      <c r="A17" s="389" t="s">
        <v>11</v>
      </c>
      <c r="B17" s="390" t="s">
        <v>119</v>
      </c>
      <c r="C17" s="391" t="s">
        <v>12</v>
      </c>
      <c r="D17" s="392">
        <v>0</v>
      </c>
      <c r="E17" s="393">
        <v>0</v>
      </c>
      <c r="F17" s="393">
        <v>0</v>
      </c>
      <c r="G17" s="393">
        <v>0</v>
      </c>
      <c r="H17" s="393">
        <v>0</v>
      </c>
      <c r="I17" s="393">
        <v>37.466666666666669</v>
      </c>
      <c r="J17" s="393">
        <v>37.466666666666669</v>
      </c>
      <c r="K17" s="393">
        <v>37.466666666666669</v>
      </c>
      <c r="L17" s="393">
        <v>37.466666666666669</v>
      </c>
      <c r="M17" s="393">
        <v>37.466666666666669</v>
      </c>
      <c r="N17" s="393">
        <v>37.466666666666669</v>
      </c>
      <c r="O17" s="393">
        <v>37.466666666666669</v>
      </c>
      <c r="P17" s="393">
        <v>37.466666666666669</v>
      </c>
      <c r="Q17" s="393">
        <v>37.466666666666669</v>
      </c>
      <c r="R17" s="393">
        <v>37.466666666666669</v>
      </c>
      <c r="S17" s="393">
        <v>37.466666666666669</v>
      </c>
      <c r="T17" s="393">
        <v>37.466666666666669</v>
      </c>
      <c r="U17" s="393">
        <v>37.466666666666669</v>
      </c>
      <c r="V17" s="394">
        <v>37.466666666666669</v>
      </c>
      <c r="W17" s="395">
        <v>37.466666666666669</v>
      </c>
      <c r="X17" s="395">
        <v>20</v>
      </c>
      <c r="Y17" s="393">
        <v>20</v>
      </c>
      <c r="Z17" s="393">
        <v>20</v>
      </c>
      <c r="AA17" s="393">
        <v>20</v>
      </c>
      <c r="AB17" s="393">
        <v>20</v>
      </c>
      <c r="AC17" s="393">
        <v>20</v>
      </c>
      <c r="AD17" s="393">
        <v>20</v>
      </c>
      <c r="AE17" s="393">
        <v>20</v>
      </c>
      <c r="AF17" s="393">
        <v>20</v>
      </c>
      <c r="AG17" s="393">
        <v>20</v>
      </c>
      <c r="AH17" s="40"/>
    </row>
    <row r="18" spans="1:34" x14ac:dyDescent="0.35">
      <c r="A18" s="389" t="s">
        <v>11</v>
      </c>
      <c r="B18" s="390" t="s">
        <v>13</v>
      </c>
      <c r="C18" s="391" t="s">
        <v>12</v>
      </c>
      <c r="D18" s="392">
        <v>0</v>
      </c>
      <c r="E18" s="393">
        <v>0</v>
      </c>
      <c r="F18" s="393">
        <v>0</v>
      </c>
      <c r="G18" s="393">
        <v>0</v>
      </c>
      <c r="H18" s="393">
        <v>0</v>
      </c>
      <c r="I18" s="393">
        <v>1</v>
      </c>
      <c r="J18" s="393">
        <v>1</v>
      </c>
      <c r="K18" s="393">
        <v>1</v>
      </c>
      <c r="L18" s="393">
        <v>1</v>
      </c>
      <c r="M18" s="393">
        <v>1</v>
      </c>
      <c r="N18" s="393">
        <v>1</v>
      </c>
      <c r="O18" s="393">
        <v>1</v>
      </c>
      <c r="P18" s="393">
        <v>1</v>
      </c>
      <c r="Q18" s="393">
        <v>1</v>
      </c>
      <c r="R18" s="393">
        <v>1</v>
      </c>
      <c r="S18" s="393">
        <v>1</v>
      </c>
      <c r="T18" s="393">
        <v>1</v>
      </c>
      <c r="U18" s="393">
        <v>1</v>
      </c>
      <c r="V18" s="394">
        <v>1</v>
      </c>
      <c r="W18" s="395">
        <v>1</v>
      </c>
      <c r="X18" s="395">
        <v>1</v>
      </c>
      <c r="Y18" s="393">
        <v>1</v>
      </c>
      <c r="Z18" s="393">
        <v>1</v>
      </c>
      <c r="AA18" s="393">
        <v>1</v>
      </c>
      <c r="AB18" s="393">
        <v>1</v>
      </c>
      <c r="AC18" s="393">
        <v>1</v>
      </c>
      <c r="AD18" s="393">
        <v>1</v>
      </c>
      <c r="AE18" s="393">
        <v>1</v>
      </c>
      <c r="AF18" s="393">
        <v>1</v>
      </c>
      <c r="AG18" s="393">
        <v>1</v>
      </c>
      <c r="AH18" s="40"/>
    </row>
    <row r="19" spans="1:34" x14ac:dyDescent="0.35">
      <c r="A19" s="389" t="s">
        <v>11</v>
      </c>
      <c r="B19" s="390" t="s">
        <v>14</v>
      </c>
      <c r="C19" s="391" t="s">
        <v>12</v>
      </c>
      <c r="D19" s="392">
        <v>0</v>
      </c>
      <c r="E19" s="393">
        <v>0</v>
      </c>
      <c r="F19" s="393">
        <v>1</v>
      </c>
      <c r="G19" s="393">
        <v>0</v>
      </c>
      <c r="H19" s="393">
        <v>0</v>
      </c>
      <c r="I19" s="393">
        <v>1</v>
      </c>
      <c r="J19" s="393">
        <v>0</v>
      </c>
      <c r="K19" s="393">
        <v>0</v>
      </c>
      <c r="L19" s="393">
        <v>1</v>
      </c>
      <c r="M19" s="393">
        <v>0</v>
      </c>
      <c r="N19" s="393">
        <v>0</v>
      </c>
      <c r="O19" s="393">
        <v>1</v>
      </c>
      <c r="P19" s="393">
        <v>0</v>
      </c>
      <c r="Q19" s="393">
        <v>0</v>
      </c>
      <c r="R19" s="393">
        <v>1</v>
      </c>
      <c r="S19" s="393">
        <v>0</v>
      </c>
      <c r="T19" s="393">
        <v>0</v>
      </c>
      <c r="U19" s="393">
        <v>1</v>
      </c>
      <c r="V19" s="394">
        <v>0</v>
      </c>
      <c r="W19" s="395">
        <v>0</v>
      </c>
      <c r="X19" s="395">
        <v>0.33</v>
      </c>
      <c r="Y19" s="393">
        <v>0.33</v>
      </c>
      <c r="Z19" s="393">
        <v>0.33</v>
      </c>
      <c r="AA19" s="393">
        <v>0.33</v>
      </c>
      <c r="AB19" s="393">
        <v>0.33</v>
      </c>
      <c r="AC19" s="393">
        <v>0.33</v>
      </c>
      <c r="AD19" s="393">
        <v>0.33</v>
      </c>
      <c r="AE19" s="393">
        <v>0.33</v>
      </c>
      <c r="AF19" s="393">
        <v>0.33</v>
      </c>
      <c r="AG19" s="393">
        <v>0.33</v>
      </c>
      <c r="AH19" s="40"/>
    </row>
    <row r="20" spans="1:34" x14ac:dyDescent="0.35">
      <c r="A20" s="396" t="s">
        <v>15</v>
      </c>
      <c r="B20" s="397" t="s">
        <v>16</v>
      </c>
      <c r="C20" s="398" t="s">
        <v>10</v>
      </c>
      <c r="D20" s="399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1"/>
      <c r="W20" s="402"/>
      <c r="X20" s="403">
        <v>30</v>
      </c>
      <c r="Y20" s="404">
        <v>77</v>
      </c>
      <c r="Z20" s="404">
        <v>58</v>
      </c>
      <c r="AA20" s="404">
        <v>86</v>
      </c>
      <c r="AB20" s="404">
        <v>85</v>
      </c>
      <c r="AC20" s="404">
        <v>84</v>
      </c>
      <c r="AD20" s="404">
        <v>89</v>
      </c>
      <c r="AE20" s="404">
        <v>94</v>
      </c>
      <c r="AF20" s="404">
        <v>86</v>
      </c>
      <c r="AG20" s="404">
        <v>86</v>
      </c>
      <c r="AH20" s="41"/>
    </row>
    <row r="21" spans="1:34" x14ac:dyDescent="0.35">
      <c r="A21" s="396" t="s">
        <v>15</v>
      </c>
      <c r="B21" s="397" t="s">
        <v>17</v>
      </c>
      <c r="C21" s="398" t="s">
        <v>10</v>
      </c>
      <c r="D21" s="399">
        <v>12</v>
      </c>
      <c r="E21" s="400">
        <v>16</v>
      </c>
      <c r="F21" s="400">
        <v>19</v>
      </c>
      <c r="G21" s="400">
        <v>33</v>
      </c>
      <c r="H21" s="400">
        <v>40</v>
      </c>
      <c r="I21" s="400">
        <v>8</v>
      </c>
      <c r="J21" s="400">
        <v>38</v>
      </c>
      <c r="K21" s="400">
        <v>40</v>
      </c>
      <c r="L21" s="400">
        <v>35</v>
      </c>
      <c r="M21" s="400">
        <v>35</v>
      </c>
      <c r="N21" s="400">
        <v>49</v>
      </c>
      <c r="O21" s="400">
        <v>44</v>
      </c>
      <c r="P21" s="400">
        <v>55</v>
      </c>
      <c r="Q21" s="400">
        <v>71</v>
      </c>
      <c r="R21" s="400">
        <v>50</v>
      </c>
      <c r="S21" s="400">
        <v>83</v>
      </c>
      <c r="T21" s="400">
        <v>55</v>
      </c>
      <c r="U21" s="400">
        <v>52</v>
      </c>
      <c r="V21" s="401">
        <v>54</v>
      </c>
      <c r="W21" s="402">
        <v>62</v>
      </c>
      <c r="X21" s="403">
        <v>3</v>
      </c>
      <c r="Y21" s="404">
        <v>9</v>
      </c>
      <c r="Z21" s="404">
        <v>6</v>
      </c>
      <c r="AA21" s="404">
        <v>10</v>
      </c>
      <c r="AB21" s="404">
        <v>9</v>
      </c>
      <c r="AC21" s="404">
        <v>9</v>
      </c>
      <c r="AD21" s="404">
        <v>10</v>
      </c>
      <c r="AE21" s="404">
        <v>10</v>
      </c>
      <c r="AF21" s="404">
        <v>10</v>
      </c>
      <c r="AG21" s="404">
        <v>10</v>
      </c>
      <c r="AH21" s="41"/>
    </row>
    <row r="22" spans="1:34" x14ac:dyDescent="0.35">
      <c r="A22" s="396" t="s">
        <v>15</v>
      </c>
      <c r="B22" s="397" t="s">
        <v>18</v>
      </c>
      <c r="C22" s="398" t="s">
        <v>10</v>
      </c>
      <c r="D22" s="399">
        <v>3</v>
      </c>
      <c r="E22" s="400">
        <v>3</v>
      </c>
      <c r="F22" s="400">
        <v>3</v>
      </c>
      <c r="G22" s="400">
        <v>3</v>
      </c>
      <c r="H22" s="400">
        <v>3</v>
      </c>
      <c r="I22" s="400">
        <v>3</v>
      </c>
      <c r="J22" s="400">
        <v>4</v>
      </c>
      <c r="K22" s="400">
        <v>4</v>
      </c>
      <c r="L22" s="400">
        <v>4</v>
      </c>
      <c r="M22" s="400">
        <v>4</v>
      </c>
      <c r="N22" s="400">
        <v>10</v>
      </c>
      <c r="O22" s="400">
        <v>10</v>
      </c>
      <c r="P22" s="400">
        <v>10</v>
      </c>
      <c r="Q22" s="400">
        <v>10</v>
      </c>
      <c r="R22" s="400">
        <v>10</v>
      </c>
      <c r="S22" s="400">
        <v>10</v>
      </c>
      <c r="T22" s="400">
        <v>10</v>
      </c>
      <c r="U22" s="400">
        <v>10</v>
      </c>
      <c r="V22" s="401">
        <v>10</v>
      </c>
      <c r="W22" s="402">
        <v>10</v>
      </c>
      <c r="X22" s="403">
        <v>10</v>
      </c>
      <c r="Y22" s="404">
        <v>10</v>
      </c>
      <c r="Z22" s="404">
        <v>10</v>
      </c>
      <c r="AA22" s="404">
        <v>10</v>
      </c>
      <c r="AB22" s="404">
        <v>10</v>
      </c>
      <c r="AC22" s="404">
        <v>10</v>
      </c>
      <c r="AD22" s="404">
        <v>10</v>
      </c>
      <c r="AE22" s="404">
        <v>10</v>
      </c>
      <c r="AF22" s="404">
        <v>10</v>
      </c>
      <c r="AG22" s="404">
        <v>10</v>
      </c>
      <c r="AH22" s="41"/>
    </row>
    <row r="23" spans="1:34" x14ac:dyDescent="0.35">
      <c r="A23" s="396" t="s">
        <v>15</v>
      </c>
      <c r="B23" s="397" t="s">
        <v>19</v>
      </c>
      <c r="C23" s="398" t="s">
        <v>20</v>
      </c>
      <c r="D23" s="399">
        <v>1600</v>
      </c>
      <c r="E23" s="400">
        <v>1600</v>
      </c>
      <c r="F23" s="400">
        <v>1600</v>
      </c>
      <c r="G23" s="400">
        <v>1600</v>
      </c>
      <c r="H23" s="400">
        <v>1600</v>
      </c>
      <c r="I23" s="400">
        <v>1600</v>
      </c>
      <c r="J23" s="400">
        <v>1600</v>
      </c>
      <c r="K23" s="400">
        <v>1600</v>
      </c>
      <c r="L23" s="400">
        <v>1600</v>
      </c>
      <c r="M23" s="400">
        <v>1600</v>
      </c>
      <c r="N23" s="400">
        <v>1600</v>
      </c>
      <c r="O23" s="400">
        <v>1600</v>
      </c>
      <c r="P23" s="400">
        <v>1600</v>
      </c>
      <c r="Q23" s="400">
        <v>1600</v>
      </c>
      <c r="R23" s="400">
        <v>1600</v>
      </c>
      <c r="S23" s="400">
        <v>1600</v>
      </c>
      <c r="T23" s="400">
        <v>1600</v>
      </c>
      <c r="U23" s="400">
        <v>1600</v>
      </c>
      <c r="V23" s="401">
        <v>1600</v>
      </c>
      <c r="W23" s="402">
        <v>1603</v>
      </c>
      <c r="X23" s="403">
        <v>1603</v>
      </c>
      <c r="Y23" s="404">
        <v>1603</v>
      </c>
      <c r="Z23" s="404">
        <v>1603</v>
      </c>
      <c r="AA23" s="404">
        <v>1603</v>
      </c>
      <c r="AB23" s="404">
        <v>1603</v>
      </c>
      <c r="AC23" s="404">
        <v>1603</v>
      </c>
      <c r="AD23" s="404">
        <v>1603</v>
      </c>
      <c r="AE23" s="404">
        <v>1603</v>
      </c>
      <c r="AF23" s="404">
        <v>1603</v>
      </c>
      <c r="AG23" s="404">
        <v>1603</v>
      </c>
      <c r="AH23" s="41"/>
    </row>
    <row r="24" spans="1:34" x14ac:dyDescent="0.35">
      <c r="A24" s="396" t="s">
        <v>15</v>
      </c>
      <c r="B24" s="397" t="s">
        <v>21</v>
      </c>
      <c r="C24" s="398" t="s">
        <v>10</v>
      </c>
      <c r="D24" s="399"/>
      <c r="E24" s="400"/>
      <c r="F24" s="400">
        <v>2</v>
      </c>
      <c r="G24" s="400">
        <v>2</v>
      </c>
      <c r="H24" s="400">
        <v>2</v>
      </c>
      <c r="I24" s="400">
        <v>2</v>
      </c>
      <c r="J24" s="400">
        <v>2</v>
      </c>
      <c r="K24" s="400">
        <v>2</v>
      </c>
      <c r="L24" s="400"/>
      <c r="M24" s="400"/>
      <c r="N24" s="400"/>
      <c r="O24" s="400"/>
      <c r="P24" s="400"/>
      <c r="Q24" s="400"/>
      <c r="R24" s="400"/>
      <c r="S24" s="400"/>
      <c r="T24" s="400"/>
      <c r="U24" s="400"/>
      <c r="V24" s="401"/>
      <c r="W24" s="402"/>
      <c r="X24" s="403"/>
      <c r="Y24" s="404"/>
      <c r="Z24" s="404"/>
      <c r="AA24" s="404"/>
      <c r="AB24" s="404"/>
      <c r="AC24" s="404"/>
      <c r="AD24" s="404"/>
      <c r="AE24" s="404"/>
      <c r="AF24" s="404"/>
      <c r="AG24" s="404"/>
      <c r="AH24" s="41"/>
    </row>
    <row r="25" spans="1:34" x14ac:dyDescent="0.35">
      <c r="A25" s="405" t="s">
        <v>136</v>
      </c>
      <c r="B25" s="406" t="s">
        <v>227</v>
      </c>
      <c r="C25" s="407" t="s">
        <v>23</v>
      </c>
      <c r="D25" s="408"/>
      <c r="E25" s="409"/>
      <c r="F25" s="409"/>
      <c r="G25" s="409"/>
      <c r="H25" s="409">
        <f>Structures!E2</f>
        <v>1683.4000000000003</v>
      </c>
      <c r="I25" s="409">
        <f>Structures!F2</f>
        <v>272.59999999999997</v>
      </c>
      <c r="J25" s="409">
        <f>Structures!G2</f>
        <v>104.4</v>
      </c>
      <c r="K25" s="409">
        <f>Structures!H2</f>
        <v>36.4</v>
      </c>
      <c r="L25" s="409">
        <f>Structures!I2</f>
        <v>1099.492</v>
      </c>
      <c r="M25" s="409">
        <f>Structures!J2</f>
        <v>1638.2</v>
      </c>
      <c r="N25" s="409">
        <f>Structures!K2</f>
        <v>150.4</v>
      </c>
      <c r="O25" s="409">
        <f>Structures!L2</f>
        <v>0</v>
      </c>
      <c r="P25" s="409">
        <f>Structures!M2</f>
        <v>0</v>
      </c>
      <c r="Q25" s="409">
        <f>Structures!N2</f>
        <v>2314.7200000000007</v>
      </c>
      <c r="R25" s="409">
        <f>Structures!O2</f>
        <v>36.799999999999997</v>
      </c>
      <c r="S25" s="409">
        <f>Structures!P2</f>
        <v>44</v>
      </c>
      <c r="T25" s="409">
        <f>Structures!Q2</f>
        <v>34.4</v>
      </c>
      <c r="U25" s="409">
        <f>Structures!R2</f>
        <v>70.599999999999994</v>
      </c>
      <c r="V25" s="410">
        <f>Structures!S2</f>
        <v>0</v>
      </c>
      <c r="W25" s="411">
        <f>Structures!T2</f>
        <v>660</v>
      </c>
      <c r="X25" s="412">
        <f>Adjustment!C28</f>
        <v>0</v>
      </c>
      <c r="Y25" s="412">
        <f>Adjustment!D28</f>
        <v>0</v>
      </c>
      <c r="Z25" s="412">
        <f>Adjustment!E28</f>
        <v>0</v>
      </c>
      <c r="AA25" s="412">
        <f>Adjustment!F28</f>
        <v>0</v>
      </c>
      <c r="AB25" s="412">
        <f>Adjustment!G28</f>
        <v>0</v>
      </c>
      <c r="AC25" s="412">
        <f>Adjustment!H28</f>
        <v>0</v>
      </c>
      <c r="AD25" s="412">
        <f>Adjustment!I28</f>
        <v>0</v>
      </c>
      <c r="AE25" s="412">
        <f>Adjustment!J28</f>
        <v>0</v>
      </c>
      <c r="AF25" s="412">
        <f>Adjustment!K28</f>
        <v>77.56</v>
      </c>
      <c r="AG25" s="413">
        <v>77.56</v>
      </c>
      <c r="AH25" s="42"/>
    </row>
    <row r="26" spans="1:34" x14ac:dyDescent="0.35">
      <c r="A26" s="405" t="s">
        <v>136</v>
      </c>
      <c r="B26" s="406" t="s">
        <v>161</v>
      </c>
      <c r="C26" s="407" t="s">
        <v>139</v>
      </c>
      <c r="D26" s="408"/>
      <c r="E26" s="409"/>
      <c r="F26" s="409"/>
      <c r="G26" s="409"/>
      <c r="H26" s="409">
        <f>Structures!E3</f>
        <v>181.5</v>
      </c>
      <c r="I26" s="409">
        <f>Structures!F3</f>
        <v>90</v>
      </c>
      <c r="J26" s="409">
        <f>Structures!G3</f>
        <v>8</v>
      </c>
      <c r="K26" s="409">
        <f>Structures!H3</f>
        <v>89.5</v>
      </c>
      <c r="L26" s="409">
        <f>Structures!I3</f>
        <v>153.39999999999998</v>
      </c>
      <c r="M26" s="409">
        <f>Structures!J3</f>
        <v>129</v>
      </c>
      <c r="N26" s="409">
        <f>Structures!K3</f>
        <v>116</v>
      </c>
      <c r="O26" s="409">
        <f>Structures!L3</f>
        <v>143</v>
      </c>
      <c r="P26" s="409">
        <f>Structures!M3</f>
        <v>119</v>
      </c>
      <c r="Q26" s="409">
        <f>Structures!N3</f>
        <v>150</v>
      </c>
      <c r="R26" s="409">
        <f>Structures!O3</f>
        <v>306</v>
      </c>
      <c r="S26" s="409">
        <f>Structures!P3</f>
        <v>37.299999999999997</v>
      </c>
      <c r="T26" s="409">
        <f>Structures!Q3</f>
        <v>7.5</v>
      </c>
      <c r="U26" s="409">
        <f>Structures!R3</f>
        <v>113.5</v>
      </c>
      <c r="V26" s="410">
        <f>Structures!S3</f>
        <v>247</v>
      </c>
      <c r="W26" s="411">
        <f>Structures!T3</f>
        <v>221</v>
      </c>
      <c r="X26" s="409">
        <f>Adjustment!C29</f>
        <v>0</v>
      </c>
      <c r="Y26" s="409">
        <f>Adjustment!D29</f>
        <v>22</v>
      </c>
      <c r="Z26" s="409">
        <f>Adjustment!E29</f>
        <v>24</v>
      </c>
      <c r="AA26" s="409">
        <f>Adjustment!F29</f>
        <v>221</v>
      </c>
      <c r="AB26" s="409">
        <f>Adjustment!G29</f>
        <v>125</v>
      </c>
      <c r="AC26" s="409">
        <f>Adjustment!H29</f>
        <v>39</v>
      </c>
      <c r="AD26" s="409">
        <f>Adjustment!I29</f>
        <v>43</v>
      </c>
      <c r="AE26" s="409">
        <f>Adjustment!J29</f>
        <v>0</v>
      </c>
      <c r="AF26" s="409">
        <f>Adjustment!K29</f>
        <v>0</v>
      </c>
      <c r="AG26" s="413">
        <v>0</v>
      </c>
      <c r="AH26" s="42"/>
    </row>
    <row r="27" spans="1:34" x14ac:dyDescent="0.35">
      <c r="A27" s="405" t="s">
        <v>136</v>
      </c>
      <c r="B27" s="406" t="s">
        <v>229</v>
      </c>
      <c r="C27" s="407" t="s">
        <v>22</v>
      </c>
      <c r="D27" s="408"/>
      <c r="E27" s="409"/>
      <c r="F27" s="409"/>
      <c r="G27" s="409"/>
      <c r="H27" s="409">
        <f>Structures!E4</f>
        <v>101.04</v>
      </c>
      <c r="I27" s="409">
        <f>Structures!F4</f>
        <v>45.1</v>
      </c>
      <c r="J27" s="409">
        <f>Structures!G4</f>
        <v>1458.3700000000001</v>
      </c>
      <c r="K27" s="409">
        <f>Structures!H4</f>
        <v>24482.039520000002</v>
      </c>
      <c r="L27" s="409">
        <f>Structures!I4</f>
        <v>98.008800000000008</v>
      </c>
      <c r="M27" s="409">
        <f>Structures!J4</f>
        <v>0</v>
      </c>
      <c r="N27" s="409">
        <f>Structures!K4</f>
        <v>601.46999999999991</v>
      </c>
      <c r="O27" s="409">
        <f>Structures!L4</f>
        <v>0</v>
      </c>
      <c r="P27" s="409">
        <f>Structures!M4</f>
        <v>0</v>
      </c>
      <c r="Q27" s="409">
        <f>Structures!N4</f>
        <v>908.56000000000006</v>
      </c>
      <c r="R27" s="409">
        <f>Structures!O4</f>
        <v>46.739999999999995</v>
      </c>
      <c r="S27" s="409">
        <f>Structures!P4</f>
        <v>12547.52</v>
      </c>
      <c r="T27" s="409">
        <f>Structures!Q4</f>
        <v>0</v>
      </c>
      <c r="U27" s="409">
        <f>Structures!R4</f>
        <v>0</v>
      </c>
      <c r="V27" s="410">
        <f>Structures!S4</f>
        <v>15.17</v>
      </c>
      <c r="W27" s="411">
        <f>Structures!T4</f>
        <v>9997.3640000000014</v>
      </c>
      <c r="X27" s="409">
        <f>Adjustment!C30</f>
        <v>0</v>
      </c>
      <c r="Y27" s="409">
        <f>Adjustment!D30</f>
        <v>0</v>
      </c>
      <c r="Z27" s="409">
        <f>Adjustment!E30</f>
        <v>0</v>
      </c>
      <c r="AA27" s="409">
        <f>Adjustment!F30</f>
        <v>0</v>
      </c>
      <c r="AB27" s="409">
        <f>Adjustment!G30</f>
        <v>0</v>
      </c>
      <c r="AC27" s="409">
        <f>Adjustment!H30</f>
        <v>0</v>
      </c>
      <c r="AD27" s="409">
        <f>Adjustment!I30</f>
        <v>0</v>
      </c>
      <c r="AE27" s="409">
        <f>Adjustment!J30</f>
        <v>0</v>
      </c>
      <c r="AF27" s="409">
        <f>Adjustment!K30</f>
        <v>0</v>
      </c>
      <c r="AG27" s="413">
        <v>0</v>
      </c>
      <c r="AH27" s="42"/>
    </row>
    <row r="28" spans="1:34" x14ac:dyDescent="0.35">
      <c r="A28" s="405" t="s">
        <v>136</v>
      </c>
      <c r="B28" s="406" t="s">
        <v>230</v>
      </c>
      <c r="C28" s="407" t="s">
        <v>22</v>
      </c>
      <c r="D28" s="408"/>
      <c r="E28" s="409"/>
      <c r="F28" s="409"/>
      <c r="G28" s="409"/>
      <c r="H28" s="409">
        <f>Structures!E5</f>
        <v>507.9</v>
      </c>
      <c r="I28" s="409">
        <f>Structures!F5</f>
        <v>615.28</v>
      </c>
      <c r="J28" s="409">
        <f>Structures!G5</f>
        <v>0</v>
      </c>
      <c r="K28" s="409">
        <f>Structures!H5</f>
        <v>1607.2</v>
      </c>
      <c r="L28" s="409">
        <f>Structures!I5</f>
        <v>1066</v>
      </c>
      <c r="M28" s="409">
        <f>Structures!J5</f>
        <v>0</v>
      </c>
      <c r="N28" s="409">
        <f>Structures!K5</f>
        <v>292.5</v>
      </c>
      <c r="O28" s="409">
        <f>Structures!L5</f>
        <v>2144.712</v>
      </c>
      <c r="P28" s="409">
        <f>Structures!M5</f>
        <v>0</v>
      </c>
      <c r="Q28" s="409">
        <f>Structures!N5</f>
        <v>0</v>
      </c>
      <c r="R28" s="409">
        <f>Structures!O5</f>
        <v>0</v>
      </c>
      <c r="S28" s="409">
        <f>Structures!P5</f>
        <v>689.4</v>
      </c>
      <c r="T28" s="409">
        <f>Structures!Q5</f>
        <v>0</v>
      </c>
      <c r="U28" s="409">
        <f>Structures!R5</f>
        <v>0</v>
      </c>
      <c r="V28" s="410">
        <f>Structures!S5</f>
        <v>0</v>
      </c>
      <c r="W28" s="411">
        <f>Structures!T5</f>
        <v>1074.396</v>
      </c>
      <c r="X28" s="409">
        <f>Adjustment!C31</f>
        <v>0</v>
      </c>
      <c r="Y28" s="409">
        <f>Adjustment!D31</f>
        <v>0</v>
      </c>
      <c r="Z28" s="409">
        <f>Adjustment!E31</f>
        <v>907.32999999999993</v>
      </c>
      <c r="AA28" s="409">
        <f>Adjustment!F31</f>
        <v>261.84899999999999</v>
      </c>
      <c r="AB28" s="409">
        <f>Adjustment!G31</f>
        <v>0</v>
      </c>
      <c r="AC28" s="409">
        <f>Adjustment!H31</f>
        <v>948.82200000000012</v>
      </c>
      <c r="AD28" s="409">
        <f>Adjustment!I31</f>
        <v>18.22</v>
      </c>
      <c r="AE28" s="409">
        <f>Adjustment!J31</f>
        <v>0</v>
      </c>
      <c r="AF28" s="409">
        <f>Adjustment!K31</f>
        <v>1332.0899999999997</v>
      </c>
      <c r="AG28" s="413">
        <v>1332.0899999999997</v>
      </c>
      <c r="AH28" s="42"/>
    </row>
    <row r="29" spans="1:34" x14ac:dyDescent="0.35">
      <c r="A29" s="405" t="s">
        <v>136</v>
      </c>
      <c r="B29" s="406" t="s">
        <v>231</v>
      </c>
      <c r="C29" s="407" t="s">
        <v>22</v>
      </c>
      <c r="D29" s="408"/>
      <c r="E29" s="409"/>
      <c r="F29" s="409"/>
      <c r="G29" s="409"/>
      <c r="H29" s="409">
        <f>Structures!E6</f>
        <v>1048.9351000000001</v>
      </c>
      <c r="I29" s="409">
        <f>Structures!F6</f>
        <v>437.67127500000009</v>
      </c>
      <c r="J29" s="409">
        <f>Structures!G6</f>
        <v>0</v>
      </c>
      <c r="K29" s="409">
        <f>Structures!H6</f>
        <v>1526.2504049999998</v>
      </c>
      <c r="L29" s="409">
        <f>Structures!I6</f>
        <v>427.26802500000008</v>
      </c>
      <c r="M29" s="409">
        <f>Structures!J6</f>
        <v>1271.8019999999997</v>
      </c>
      <c r="N29" s="409">
        <f>Structures!K6</f>
        <v>560.928</v>
      </c>
      <c r="O29" s="409">
        <f>Structures!L6</f>
        <v>1071.3711000000001</v>
      </c>
      <c r="P29" s="409">
        <f>Structures!M6</f>
        <v>0</v>
      </c>
      <c r="Q29" s="409">
        <f>Structures!N6</f>
        <v>354.38864000000001</v>
      </c>
      <c r="R29" s="409">
        <f>Structures!O6</f>
        <v>561.8125</v>
      </c>
      <c r="S29" s="409">
        <f>Structures!P6</f>
        <v>3547.651499999999</v>
      </c>
      <c r="T29" s="409">
        <f>Structures!Q6</f>
        <v>1048.9351000000001</v>
      </c>
      <c r="U29" s="409">
        <f>Structures!R6</f>
        <v>0</v>
      </c>
      <c r="V29" s="410">
        <f>Structures!S6</f>
        <v>0</v>
      </c>
      <c r="W29" s="411">
        <f>Structures!T6</f>
        <v>13413.997523000015</v>
      </c>
      <c r="X29" s="409">
        <f>Adjustment!C32</f>
        <v>0</v>
      </c>
      <c r="Y29" s="409">
        <f>Adjustment!D32</f>
        <v>0</v>
      </c>
      <c r="Z29" s="409">
        <f>Adjustment!E32</f>
        <v>0</v>
      </c>
      <c r="AA29" s="409">
        <f>Adjustment!F32</f>
        <v>0</v>
      </c>
      <c r="AB29" s="409">
        <f>Adjustment!G32</f>
        <v>0</v>
      </c>
      <c r="AC29" s="409">
        <f>Adjustment!H32</f>
        <v>0</v>
      </c>
      <c r="AD29" s="409">
        <f>Adjustment!I32</f>
        <v>0</v>
      </c>
      <c r="AE29" s="409">
        <f>Adjustment!J32</f>
        <v>0</v>
      </c>
      <c r="AF29" s="409">
        <f>Adjustment!K32</f>
        <v>0</v>
      </c>
      <c r="AG29" s="413">
        <v>0</v>
      </c>
      <c r="AH29" s="42"/>
    </row>
    <row r="30" spans="1:34" x14ac:dyDescent="0.35">
      <c r="A30" s="405" t="s">
        <v>136</v>
      </c>
      <c r="B30" s="406" t="s">
        <v>232</v>
      </c>
      <c r="C30" s="407" t="s">
        <v>22</v>
      </c>
      <c r="D30" s="408"/>
      <c r="E30" s="409"/>
      <c r="F30" s="409"/>
      <c r="G30" s="409"/>
      <c r="H30" s="409">
        <f>Structures!E7</f>
        <v>2839.2834999999991</v>
      </c>
      <c r="I30" s="409">
        <f>Structures!F7</f>
        <v>0</v>
      </c>
      <c r="J30" s="409">
        <f>Structures!G7</f>
        <v>0</v>
      </c>
      <c r="K30" s="409">
        <f>Structures!H7</f>
        <v>0</v>
      </c>
      <c r="L30" s="409">
        <f>Structures!I7</f>
        <v>0</v>
      </c>
      <c r="M30" s="409">
        <f>Structures!J7</f>
        <v>0</v>
      </c>
      <c r="N30" s="409">
        <f>Structures!K7</f>
        <v>0</v>
      </c>
      <c r="O30" s="409">
        <f>Structures!L7</f>
        <v>44.639400000000002</v>
      </c>
      <c r="P30" s="409">
        <f>Structures!M7</f>
        <v>0</v>
      </c>
      <c r="Q30" s="409">
        <f>Structures!N7</f>
        <v>47.94</v>
      </c>
      <c r="R30" s="409">
        <f>Structures!O7</f>
        <v>0</v>
      </c>
      <c r="S30" s="409">
        <f>Structures!P7</f>
        <v>0</v>
      </c>
      <c r="T30" s="409">
        <f>Structures!Q7</f>
        <v>0</v>
      </c>
      <c r="U30" s="409">
        <f>Structures!R7</f>
        <v>47.43</v>
      </c>
      <c r="V30" s="410">
        <f>Structures!S7</f>
        <v>11.02</v>
      </c>
      <c r="W30" s="411">
        <f>Structures!T7</f>
        <v>1021.6688749999995</v>
      </c>
      <c r="X30" s="409">
        <f>Adjustment!C33</f>
        <v>0</v>
      </c>
      <c r="Y30" s="409">
        <f>Adjustment!D33</f>
        <v>0</v>
      </c>
      <c r="Z30" s="409">
        <f>Adjustment!E33</f>
        <v>0</v>
      </c>
      <c r="AA30" s="409">
        <f>Adjustment!F33</f>
        <v>0</v>
      </c>
      <c r="AB30" s="409">
        <f>Adjustment!G33</f>
        <v>0</v>
      </c>
      <c r="AC30" s="409">
        <f>Adjustment!H33</f>
        <v>0</v>
      </c>
      <c r="AD30" s="409">
        <f>Adjustment!I33</f>
        <v>0</v>
      </c>
      <c r="AE30" s="409">
        <f>Adjustment!J33</f>
        <v>0</v>
      </c>
      <c r="AF30" s="409">
        <f>Adjustment!K33</f>
        <v>0</v>
      </c>
      <c r="AG30" s="413">
        <v>0</v>
      </c>
      <c r="AH30" s="42"/>
    </row>
    <row r="31" spans="1:34" x14ac:dyDescent="0.35">
      <c r="A31" s="405" t="s">
        <v>136</v>
      </c>
      <c r="B31" s="406" t="s">
        <v>233</v>
      </c>
      <c r="C31" s="407" t="s">
        <v>22</v>
      </c>
      <c r="D31" s="408"/>
      <c r="E31" s="409"/>
      <c r="F31" s="409"/>
      <c r="G31" s="409"/>
      <c r="H31" s="409">
        <f>Structures!E8</f>
        <v>8.6394000000000002</v>
      </c>
      <c r="I31" s="409">
        <f>Structures!F8</f>
        <v>0</v>
      </c>
      <c r="J31" s="409">
        <f>Structures!G8</f>
        <v>0</v>
      </c>
      <c r="K31" s="409">
        <f>Structures!H8</f>
        <v>17.907</v>
      </c>
      <c r="L31" s="409">
        <f>Structures!I8</f>
        <v>8.9535</v>
      </c>
      <c r="M31" s="409">
        <f>Structures!J8</f>
        <v>155.50919999999999</v>
      </c>
      <c r="N31" s="409">
        <f>Structures!K8</f>
        <v>17.5929</v>
      </c>
      <c r="O31" s="409">
        <f>Structures!L8</f>
        <v>106.8139</v>
      </c>
      <c r="P31" s="409">
        <f>Structures!M8</f>
        <v>0</v>
      </c>
      <c r="Q31" s="409">
        <f>Structures!N8</f>
        <v>0</v>
      </c>
      <c r="R31" s="409">
        <f>Structures!O8</f>
        <v>245.33519999999999</v>
      </c>
      <c r="S31" s="409">
        <f>Structures!P8</f>
        <v>26.860500000000002</v>
      </c>
      <c r="T31" s="409">
        <f>Structures!Q8</f>
        <v>8.6394000000000002</v>
      </c>
      <c r="U31" s="409">
        <f>Structures!R8</f>
        <v>8.3802179999999993</v>
      </c>
      <c r="V31" s="410">
        <f>Structures!S8</f>
        <v>0</v>
      </c>
      <c r="W31" s="411">
        <f>Structures!T8</f>
        <v>128.830186</v>
      </c>
      <c r="X31" s="409">
        <f>Adjustment!C34</f>
        <v>0</v>
      </c>
      <c r="Y31" s="409">
        <f>Adjustment!D34</f>
        <v>0</v>
      </c>
      <c r="Z31" s="409">
        <f>Adjustment!E34</f>
        <v>0</v>
      </c>
      <c r="AA31" s="409">
        <f>Adjustment!F34</f>
        <v>0</v>
      </c>
      <c r="AB31" s="409">
        <f>Adjustment!G34</f>
        <v>0</v>
      </c>
      <c r="AC31" s="409">
        <f>Adjustment!H34</f>
        <v>0</v>
      </c>
      <c r="AD31" s="409">
        <f>Adjustment!I34</f>
        <v>0</v>
      </c>
      <c r="AE31" s="409">
        <f>Adjustment!J34</f>
        <v>0</v>
      </c>
      <c r="AF31" s="409">
        <f>Adjustment!K34</f>
        <v>0</v>
      </c>
      <c r="AG31" s="413">
        <v>0</v>
      </c>
      <c r="AH31" s="42"/>
    </row>
    <row r="32" spans="1:34" x14ac:dyDescent="0.35">
      <c r="A32" s="405" t="s">
        <v>136</v>
      </c>
      <c r="B32" s="406" t="s">
        <v>252</v>
      </c>
      <c r="C32" s="407" t="s">
        <v>23</v>
      </c>
      <c r="D32" s="408"/>
      <c r="E32" s="409"/>
      <c r="F32" s="409"/>
      <c r="G32" s="409"/>
      <c r="H32" s="409">
        <f>Structures!E9</f>
        <v>1166.1300000000001</v>
      </c>
      <c r="I32" s="409">
        <f>Structures!F9</f>
        <v>1638.1999999999989</v>
      </c>
      <c r="J32" s="409">
        <f>Structures!G9</f>
        <v>1753.9599999999996</v>
      </c>
      <c r="K32" s="409">
        <f>Structures!H9</f>
        <v>1315.3399999999997</v>
      </c>
      <c r="L32" s="409">
        <f>Structures!I9</f>
        <v>1304.6300000000001</v>
      </c>
      <c r="M32" s="409">
        <f>Structures!J9</f>
        <v>1005.8999999999996</v>
      </c>
      <c r="N32" s="409">
        <f>Structures!K9</f>
        <v>1168.7</v>
      </c>
      <c r="O32" s="409">
        <f>Structures!L9</f>
        <v>1182.3599999999994</v>
      </c>
      <c r="P32" s="409">
        <f>Structures!M9</f>
        <v>623.00000000000011</v>
      </c>
      <c r="Q32" s="409">
        <f>Structures!N9</f>
        <v>829.40000000000009</v>
      </c>
      <c r="R32" s="409">
        <f>Structures!O9</f>
        <v>623.70000000000005</v>
      </c>
      <c r="S32" s="409">
        <f>Structures!P9</f>
        <v>1184.1300000000001</v>
      </c>
      <c r="T32" s="409">
        <f>Structures!Q9</f>
        <v>1973.4</v>
      </c>
      <c r="U32" s="409">
        <f>Structures!R9</f>
        <v>1166.8999999999999</v>
      </c>
      <c r="V32" s="410">
        <f>Structures!S9</f>
        <v>518.2299999999999</v>
      </c>
      <c r="W32" s="411">
        <f>Structures!T9</f>
        <v>744.89999999999975</v>
      </c>
      <c r="X32" s="409">
        <f>Adjustment!C35</f>
        <v>0</v>
      </c>
      <c r="Y32" s="409">
        <f>Adjustment!D35</f>
        <v>0</v>
      </c>
      <c r="Z32" s="409">
        <f>Adjustment!E35</f>
        <v>194.70000000000002</v>
      </c>
      <c r="AA32" s="409">
        <f>Adjustment!F35</f>
        <v>1960.4499999999998</v>
      </c>
      <c r="AB32" s="409">
        <f>Adjustment!G35</f>
        <v>913.4</v>
      </c>
      <c r="AC32" s="409">
        <f>Adjustment!H35</f>
        <v>2516.59</v>
      </c>
      <c r="AD32" s="409">
        <f>Adjustment!I35</f>
        <v>2887.1500000000005</v>
      </c>
      <c r="AE32" s="409">
        <f>Adjustment!J35</f>
        <v>0</v>
      </c>
      <c r="AF32" s="409">
        <f>Adjustment!K35</f>
        <v>618.55999999999995</v>
      </c>
      <c r="AG32" s="413">
        <v>618.55999999999995</v>
      </c>
      <c r="AH32" s="42"/>
    </row>
    <row r="33" spans="1:34" x14ac:dyDescent="0.35">
      <c r="A33" s="405" t="s">
        <v>136</v>
      </c>
      <c r="B33" s="406" t="s">
        <v>364</v>
      </c>
      <c r="C33" s="407" t="s">
        <v>22</v>
      </c>
      <c r="D33" s="408"/>
      <c r="E33" s="409"/>
      <c r="F33" s="409"/>
      <c r="G33" s="409"/>
      <c r="H33" s="409">
        <f>Structures!E10</f>
        <v>5435.0640000000003</v>
      </c>
      <c r="I33" s="409">
        <f>Structures!F10</f>
        <v>660.38</v>
      </c>
      <c r="J33" s="409">
        <f>Structures!G10</f>
        <v>1871.1500000000003</v>
      </c>
      <c r="K33" s="409">
        <f>Structures!H10</f>
        <v>43165.575720000015</v>
      </c>
      <c r="L33" s="409">
        <f>Structures!I10</f>
        <v>1764.8500000000001</v>
      </c>
      <c r="M33" s="409">
        <f>Structures!J10</f>
        <v>1089.7199999999998</v>
      </c>
      <c r="N33" s="409">
        <f>Structures!K10</f>
        <v>2524.380000000001</v>
      </c>
      <c r="O33" s="409">
        <f>Structures!L10</f>
        <v>5519.2740000000003</v>
      </c>
      <c r="P33" s="409">
        <f>Structures!M10</f>
        <v>0</v>
      </c>
      <c r="Q33" s="409">
        <f>Structures!N10</f>
        <v>1478.8300000000002</v>
      </c>
      <c r="R33" s="409">
        <f>Structures!O10</f>
        <v>985.14</v>
      </c>
      <c r="S33" s="409">
        <f>Structures!P10</f>
        <v>14665.62</v>
      </c>
      <c r="T33" s="409">
        <f>Structures!Q10</f>
        <v>645.11999999999989</v>
      </c>
      <c r="U33" s="409">
        <f>Structures!R10</f>
        <v>74.400000000000006</v>
      </c>
      <c r="V33" s="410">
        <f>Structures!S10</f>
        <v>15.2</v>
      </c>
      <c r="W33" s="411">
        <f>Structures!T10</f>
        <v>21728.755450000011</v>
      </c>
      <c r="X33" s="409">
        <f>Adjustment!C36</f>
        <v>0</v>
      </c>
      <c r="Y33" s="409">
        <f>Adjustment!D36</f>
        <v>0</v>
      </c>
      <c r="Z33" s="409">
        <f>Adjustment!E36</f>
        <v>0</v>
      </c>
      <c r="AA33" s="409">
        <f>Adjustment!F36</f>
        <v>0</v>
      </c>
      <c r="AB33" s="409">
        <f>Adjustment!G36</f>
        <v>0</v>
      </c>
      <c r="AC33" s="409">
        <f>Adjustment!H36</f>
        <v>0</v>
      </c>
      <c r="AD33" s="409">
        <f>Adjustment!I36</f>
        <v>0</v>
      </c>
      <c r="AE33" s="409">
        <f>Adjustment!J36</f>
        <v>0</v>
      </c>
      <c r="AF33" s="409">
        <f>Adjustment!K36</f>
        <v>0</v>
      </c>
      <c r="AG33" s="413">
        <v>0</v>
      </c>
      <c r="AH33" s="42"/>
    </row>
    <row r="34" spans="1:34" x14ac:dyDescent="0.35">
      <c r="A34" s="405" t="s">
        <v>136</v>
      </c>
      <c r="B34" s="406" t="s">
        <v>228</v>
      </c>
      <c r="C34" s="407" t="s">
        <v>22</v>
      </c>
      <c r="D34" s="408"/>
      <c r="E34" s="409"/>
      <c r="F34" s="409"/>
      <c r="G34" s="409"/>
      <c r="H34" s="409">
        <f>Structures!E11</f>
        <v>52.595000000000006</v>
      </c>
      <c r="I34" s="409">
        <f>Structures!F11</f>
        <v>0</v>
      </c>
      <c r="J34" s="409">
        <f>Structures!G11</f>
        <v>0</v>
      </c>
      <c r="K34" s="409">
        <f>Structures!H11</f>
        <v>0</v>
      </c>
      <c r="L34" s="409">
        <f>Structures!I11</f>
        <v>0</v>
      </c>
      <c r="M34" s="409">
        <f>Structures!J11</f>
        <v>0</v>
      </c>
      <c r="N34" s="409">
        <f>Structures!K11</f>
        <v>0</v>
      </c>
      <c r="O34" s="409">
        <f>Structures!L11</f>
        <v>0</v>
      </c>
      <c r="P34" s="409">
        <f>Structures!M11</f>
        <v>0</v>
      </c>
      <c r="Q34" s="409">
        <f>Structures!N11</f>
        <v>0</v>
      </c>
      <c r="R34" s="409">
        <f>Structures!O11</f>
        <v>0</v>
      </c>
      <c r="S34" s="409">
        <f>Structures!P11</f>
        <v>5.6950000000000003</v>
      </c>
      <c r="T34" s="409">
        <f>Structures!Q11</f>
        <v>0</v>
      </c>
      <c r="U34" s="409">
        <f>Structures!R11</f>
        <v>0</v>
      </c>
      <c r="V34" s="410">
        <f>Structures!S11</f>
        <v>0</v>
      </c>
      <c r="W34" s="411">
        <f>Structures!T11</f>
        <v>0</v>
      </c>
      <c r="X34" s="409">
        <f>Adjustment!C37</f>
        <v>0</v>
      </c>
      <c r="Y34" s="409">
        <f>Adjustment!D37</f>
        <v>0</v>
      </c>
      <c r="Z34" s="409">
        <f>Adjustment!E37</f>
        <v>0</v>
      </c>
      <c r="AA34" s="409">
        <f>Adjustment!F37</f>
        <v>0</v>
      </c>
      <c r="AB34" s="409">
        <f>Adjustment!G37</f>
        <v>0</v>
      </c>
      <c r="AC34" s="409">
        <f>Adjustment!H37</f>
        <v>0</v>
      </c>
      <c r="AD34" s="409">
        <f>Adjustment!I37</f>
        <v>0</v>
      </c>
      <c r="AE34" s="409">
        <f>Adjustment!J37</f>
        <v>0</v>
      </c>
      <c r="AF34" s="409">
        <f>Adjustment!K37</f>
        <v>0</v>
      </c>
      <c r="AG34" s="413">
        <v>0</v>
      </c>
      <c r="AH34" s="42"/>
    </row>
    <row r="35" spans="1:34" x14ac:dyDescent="0.35">
      <c r="A35" s="405" t="s">
        <v>136</v>
      </c>
      <c r="B35" s="406" t="s">
        <v>164</v>
      </c>
      <c r="C35" s="407" t="s">
        <v>22</v>
      </c>
      <c r="D35" s="408"/>
      <c r="E35" s="409"/>
      <c r="F35" s="409"/>
      <c r="G35" s="409"/>
      <c r="H35" s="409">
        <f>Structures!E12</f>
        <v>921.9218699999999</v>
      </c>
      <c r="I35" s="409">
        <f>Structures!F12</f>
        <v>9.6313499999999994</v>
      </c>
      <c r="J35" s="409">
        <f>Structures!G12</f>
        <v>413.28759999999994</v>
      </c>
      <c r="K35" s="409">
        <f>Structures!H12</f>
        <v>28.437800000000003</v>
      </c>
      <c r="L35" s="409">
        <f>Structures!I12</f>
        <v>373.52346999999986</v>
      </c>
      <c r="M35" s="409">
        <f>Structures!J12</f>
        <v>76.837199999999996</v>
      </c>
      <c r="N35" s="409">
        <f>Structures!K12</f>
        <v>9.5512999999999995</v>
      </c>
      <c r="O35" s="409">
        <f>Structures!L12</f>
        <v>154.93634999999995</v>
      </c>
      <c r="P35" s="409">
        <f>Structures!M12</f>
        <v>11.465999999999999</v>
      </c>
      <c r="Q35" s="409">
        <f>Structures!N12</f>
        <v>113.66039999999997</v>
      </c>
      <c r="R35" s="409">
        <f>Structures!O12</f>
        <v>3364.1141099999991</v>
      </c>
      <c r="S35" s="409">
        <f>Structures!P12</f>
        <v>23.2</v>
      </c>
      <c r="T35" s="409">
        <f>Structures!Q12</f>
        <v>36.622099999999996</v>
      </c>
      <c r="U35" s="409">
        <f>Structures!R12</f>
        <v>1043.8752199999994</v>
      </c>
      <c r="V35" s="410">
        <f>Structures!S12</f>
        <v>2693.2584000000011</v>
      </c>
      <c r="W35" s="411">
        <f>Structures!T12</f>
        <v>937.73050999999975</v>
      </c>
      <c r="X35" s="409">
        <f>Adjustment!C38</f>
        <v>14.869900000000001</v>
      </c>
      <c r="Y35" s="409">
        <f>Adjustment!D38</f>
        <v>97.29039999999992</v>
      </c>
      <c r="Z35" s="409">
        <f>Adjustment!E38</f>
        <v>2026.6981999999998</v>
      </c>
      <c r="AA35" s="409">
        <f>Adjustment!F38</f>
        <v>1188.3422999999998</v>
      </c>
      <c r="AB35" s="409">
        <f>Adjustment!G38</f>
        <v>0</v>
      </c>
      <c r="AC35" s="409">
        <f>Adjustment!H38</f>
        <v>12.105</v>
      </c>
      <c r="AD35" s="409">
        <f>Adjustment!I38</f>
        <v>2.6324999999999998</v>
      </c>
      <c r="AE35" s="409">
        <f>Adjustment!J38</f>
        <v>2483.5883999999974</v>
      </c>
      <c r="AF35" s="409">
        <f>Adjustment!K38</f>
        <v>3996.2699999999995</v>
      </c>
      <c r="AG35" s="413">
        <v>3996.2699999999995</v>
      </c>
      <c r="AH35" s="42"/>
    </row>
    <row r="36" spans="1:34" x14ac:dyDescent="0.35">
      <c r="A36" s="405" t="s">
        <v>136</v>
      </c>
      <c r="B36" s="406" t="s">
        <v>251</v>
      </c>
      <c r="C36" s="407" t="s">
        <v>22</v>
      </c>
      <c r="D36" s="408"/>
      <c r="E36" s="409"/>
      <c r="F36" s="409"/>
      <c r="G36" s="409"/>
      <c r="H36" s="409">
        <f>Structures!E13</f>
        <v>0</v>
      </c>
      <c r="I36" s="409">
        <f>Structures!F13</f>
        <v>89.835999999999999</v>
      </c>
      <c r="J36" s="409">
        <f>Structures!G13</f>
        <v>0</v>
      </c>
      <c r="K36" s="409">
        <f>Structures!H13</f>
        <v>136.20599999999999</v>
      </c>
      <c r="L36" s="409">
        <f>Structures!I13</f>
        <v>0</v>
      </c>
      <c r="M36" s="409">
        <f>Structures!J13</f>
        <v>0</v>
      </c>
      <c r="N36" s="409">
        <f>Structures!K13</f>
        <v>0</v>
      </c>
      <c r="O36" s="409">
        <f>Structures!L13</f>
        <v>666.226</v>
      </c>
      <c r="P36" s="409">
        <f>Structures!M13</f>
        <v>2073.3519999999999</v>
      </c>
      <c r="Q36" s="409">
        <f>Structures!N13</f>
        <v>0</v>
      </c>
      <c r="R36" s="409">
        <f>Structures!O13</f>
        <v>628.13599999999997</v>
      </c>
      <c r="S36" s="409">
        <f>Structures!P13</f>
        <v>0</v>
      </c>
      <c r="T36" s="409">
        <f>Structures!Q13</f>
        <v>0</v>
      </c>
      <c r="U36" s="409">
        <f>Structures!R13</f>
        <v>130.66200000000001</v>
      </c>
      <c r="V36" s="410">
        <f>Structures!S13</f>
        <v>0</v>
      </c>
      <c r="W36" s="411">
        <f>Structures!T13</f>
        <v>23.132200000000001</v>
      </c>
      <c r="X36" s="409">
        <f>Adjustment!C39</f>
        <v>0</v>
      </c>
      <c r="Y36" s="409">
        <f>Adjustment!D39</f>
        <v>0</v>
      </c>
      <c r="Z36" s="409">
        <f>Adjustment!E39</f>
        <v>0</v>
      </c>
      <c r="AA36" s="409">
        <f>Adjustment!F39</f>
        <v>0</v>
      </c>
      <c r="AB36" s="409">
        <f>Adjustment!G39</f>
        <v>0</v>
      </c>
      <c r="AC36" s="409">
        <f>Adjustment!H39</f>
        <v>0</v>
      </c>
      <c r="AD36" s="409">
        <f>Adjustment!I39</f>
        <v>0</v>
      </c>
      <c r="AE36" s="409">
        <f>Adjustment!J39</f>
        <v>0</v>
      </c>
      <c r="AF36" s="409">
        <f>Adjustment!K39</f>
        <v>26</v>
      </c>
      <c r="AG36" s="413">
        <v>26</v>
      </c>
      <c r="AH36" s="42"/>
    </row>
    <row r="37" spans="1:34" x14ac:dyDescent="0.35">
      <c r="A37" s="405" t="s">
        <v>136</v>
      </c>
      <c r="B37" s="406" t="s">
        <v>250</v>
      </c>
      <c r="C37" s="407" t="s">
        <v>22</v>
      </c>
      <c r="D37" s="408"/>
      <c r="E37" s="409"/>
      <c r="F37" s="409"/>
      <c r="G37" s="409"/>
      <c r="H37" s="409">
        <f>Structures!E14</f>
        <v>2604.7570599999999</v>
      </c>
      <c r="I37" s="409">
        <f>Structures!F14</f>
        <v>0</v>
      </c>
      <c r="J37" s="409">
        <f>Structures!G14</f>
        <v>347.99979999999999</v>
      </c>
      <c r="K37" s="409">
        <f>Structures!H14</f>
        <v>0</v>
      </c>
      <c r="L37" s="409">
        <f>Structures!I14</f>
        <v>0</v>
      </c>
      <c r="M37" s="409">
        <f>Structures!J14</f>
        <v>0</v>
      </c>
      <c r="N37" s="409">
        <f>Structures!K14</f>
        <v>0</v>
      </c>
      <c r="O37" s="409">
        <f>Structures!L14</f>
        <v>279.22229999999996</v>
      </c>
      <c r="P37" s="409">
        <f>Structures!M14</f>
        <v>1365.7633000000001</v>
      </c>
      <c r="Q37" s="409">
        <f>Structures!N14</f>
        <v>18451.597159999987</v>
      </c>
      <c r="R37" s="409">
        <f>Structures!O14</f>
        <v>0</v>
      </c>
      <c r="S37" s="409">
        <f>Structures!P14</f>
        <v>0</v>
      </c>
      <c r="T37" s="409">
        <f>Structures!Q14</f>
        <v>3234.8180000000002</v>
      </c>
      <c r="U37" s="409">
        <f>Structures!R14</f>
        <v>0</v>
      </c>
      <c r="V37" s="410">
        <f>Structures!S14</f>
        <v>0</v>
      </c>
      <c r="W37" s="411">
        <f>Structures!T14</f>
        <v>0</v>
      </c>
      <c r="X37" s="409">
        <f>Adjustment!C40</f>
        <v>0</v>
      </c>
      <c r="Y37" s="409">
        <f>Adjustment!D40</f>
        <v>0</v>
      </c>
      <c r="Z37" s="409">
        <f>Adjustment!E40</f>
        <v>0</v>
      </c>
      <c r="AA37" s="409">
        <f>Adjustment!F40</f>
        <v>0</v>
      </c>
      <c r="AB37" s="409">
        <f>Adjustment!G40</f>
        <v>0</v>
      </c>
      <c r="AC37" s="409">
        <f>Adjustment!H40</f>
        <v>0</v>
      </c>
      <c r="AD37" s="409">
        <f>Adjustment!I40</f>
        <v>0</v>
      </c>
      <c r="AE37" s="409">
        <f>Adjustment!J40</f>
        <v>0</v>
      </c>
      <c r="AF37" s="409">
        <f>Adjustment!K40</f>
        <v>0</v>
      </c>
      <c r="AG37" s="413">
        <v>0</v>
      </c>
      <c r="AH37" s="42"/>
    </row>
    <row r="38" spans="1:34" x14ac:dyDescent="0.35">
      <c r="A38" s="405" t="s">
        <v>24</v>
      </c>
      <c r="B38" s="406" t="s">
        <v>227</v>
      </c>
      <c r="C38" s="407" t="s">
        <v>23</v>
      </c>
      <c r="D38" s="408"/>
      <c r="E38" s="409"/>
      <c r="F38" s="409"/>
      <c r="G38" s="409"/>
      <c r="H38" s="409">
        <f>Structures!E15</f>
        <v>80</v>
      </c>
      <c r="I38" s="409">
        <f>Structures!F15</f>
        <v>72</v>
      </c>
      <c r="J38" s="409">
        <f>Structures!G15</f>
        <v>0</v>
      </c>
      <c r="K38" s="409">
        <f>Structures!H15</f>
        <v>0</v>
      </c>
      <c r="L38" s="409">
        <f>Structures!I15</f>
        <v>0</v>
      </c>
      <c r="M38" s="409">
        <f>Structures!J15</f>
        <v>0</v>
      </c>
      <c r="N38" s="409">
        <f>Structures!K15</f>
        <v>0</v>
      </c>
      <c r="O38" s="409">
        <f>Structures!L15</f>
        <v>0</v>
      </c>
      <c r="P38" s="409">
        <f>Structures!M15</f>
        <v>0</v>
      </c>
      <c r="Q38" s="409">
        <f>Structures!N15</f>
        <v>1431.7999999999995</v>
      </c>
      <c r="R38" s="409">
        <f>Structures!O15</f>
        <v>0</v>
      </c>
      <c r="S38" s="409">
        <f>Structures!P15</f>
        <v>0</v>
      </c>
      <c r="T38" s="409">
        <f>Structures!Q15</f>
        <v>0</v>
      </c>
      <c r="U38" s="409">
        <f>Structures!R15</f>
        <v>0</v>
      </c>
      <c r="V38" s="410">
        <f>Structures!S15</f>
        <v>0</v>
      </c>
      <c r="W38" s="411">
        <f>Structures!T15</f>
        <v>0</v>
      </c>
      <c r="X38" s="409">
        <f>Adjustment!C41</f>
        <v>0</v>
      </c>
      <c r="Y38" s="409">
        <f>Adjustment!D41</f>
        <v>0</v>
      </c>
      <c r="Z38" s="409">
        <f>Adjustment!E41</f>
        <v>0</v>
      </c>
      <c r="AA38" s="409">
        <f>Adjustment!F41</f>
        <v>0</v>
      </c>
      <c r="AB38" s="409">
        <f>Adjustment!G41</f>
        <v>0</v>
      </c>
      <c r="AC38" s="409">
        <f>Adjustment!H41</f>
        <v>0</v>
      </c>
      <c r="AD38" s="409">
        <f>Adjustment!I41</f>
        <v>0</v>
      </c>
      <c r="AE38" s="409">
        <f>Adjustment!J41</f>
        <v>0</v>
      </c>
      <c r="AF38" s="409">
        <f>Adjustment!K41</f>
        <v>1049.3534999999999</v>
      </c>
      <c r="AG38" s="413">
        <v>1049.3534999999999</v>
      </c>
      <c r="AH38" s="42"/>
    </row>
    <row r="39" spans="1:34" x14ac:dyDescent="0.35">
      <c r="A39" s="405" t="s">
        <v>24</v>
      </c>
      <c r="B39" s="406" t="s">
        <v>161</v>
      </c>
      <c r="C39" s="407" t="s">
        <v>139</v>
      </c>
      <c r="D39" s="408"/>
      <c r="E39" s="409"/>
      <c r="F39" s="409"/>
      <c r="G39" s="409"/>
      <c r="H39" s="409">
        <f>Structures!E16</f>
        <v>95.4</v>
      </c>
      <c r="I39" s="409">
        <f>Structures!F16</f>
        <v>80</v>
      </c>
      <c r="J39" s="409">
        <f>Structures!G16</f>
        <v>8.8000000000000007</v>
      </c>
      <c r="K39" s="409">
        <f>Structures!H16</f>
        <v>62</v>
      </c>
      <c r="L39" s="409">
        <f>Structures!I16</f>
        <v>80</v>
      </c>
      <c r="M39" s="409">
        <f>Structures!J16</f>
        <v>28</v>
      </c>
      <c r="N39" s="409">
        <f>Structures!K16</f>
        <v>67</v>
      </c>
      <c r="O39" s="409">
        <f>Structures!L16</f>
        <v>65.400000000000006</v>
      </c>
      <c r="P39" s="409">
        <f>Structures!M16</f>
        <v>60.8</v>
      </c>
      <c r="Q39" s="409">
        <f>Structures!N16</f>
        <v>88.800000000000011</v>
      </c>
      <c r="R39" s="409">
        <f>Structures!O16</f>
        <v>6</v>
      </c>
      <c r="S39" s="409">
        <f>Structures!P16</f>
        <v>51</v>
      </c>
      <c r="T39" s="409">
        <f>Structures!Q16</f>
        <v>64</v>
      </c>
      <c r="U39" s="409">
        <f>Structures!R16</f>
        <v>38.799999999999997</v>
      </c>
      <c r="V39" s="410">
        <f>Structures!S16</f>
        <v>20</v>
      </c>
      <c r="W39" s="411">
        <f>Structures!T16</f>
        <v>239</v>
      </c>
      <c r="X39" s="409">
        <f>Adjustment!C42</f>
        <v>3</v>
      </c>
      <c r="Y39" s="409">
        <f>Adjustment!D42</f>
        <v>52</v>
      </c>
      <c r="Z39" s="409">
        <f>Adjustment!E42</f>
        <v>130</v>
      </c>
      <c r="AA39" s="409">
        <f>Adjustment!F42</f>
        <v>50</v>
      </c>
      <c r="AB39" s="409">
        <f>Adjustment!G42</f>
        <v>50</v>
      </c>
      <c r="AC39" s="409">
        <f>Adjustment!H42</f>
        <v>25</v>
      </c>
      <c r="AD39" s="409">
        <f>Adjustment!I42</f>
        <v>105</v>
      </c>
      <c r="AE39" s="409">
        <f>Adjustment!J42</f>
        <v>0</v>
      </c>
      <c r="AF39" s="409">
        <f>Adjustment!K42</f>
        <v>0</v>
      </c>
      <c r="AG39" s="413">
        <v>0</v>
      </c>
      <c r="AH39" s="42"/>
    </row>
    <row r="40" spans="1:34" x14ac:dyDescent="0.35">
      <c r="A40" s="405" t="s">
        <v>24</v>
      </c>
      <c r="B40" s="406" t="s">
        <v>229</v>
      </c>
      <c r="C40" s="407" t="s">
        <v>22</v>
      </c>
      <c r="D40" s="408"/>
      <c r="E40" s="409"/>
      <c r="F40" s="409"/>
      <c r="G40" s="409"/>
      <c r="H40" s="409">
        <f>Structures!E17</f>
        <v>0</v>
      </c>
      <c r="I40" s="409">
        <f>Structures!F17</f>
        <v>0</v>
      </c>
      <c r="J40" s="409">
        <f>Structures!G17</f>
        <v>0</v>
      </c>
      <c r="K40" s="409">
        <f>Structures!H17</f>
        <v>0</v>
      </c>
      <c r="L40" s="409">
        <f>Structures!I17</f>
        <v>0</v>
      </c>
      <c r="M40" s="409">
        <f>Structures!J17</f>
        <v>0</v>
      </c>
      <c r="N40" s="409">
        <f>Structures!K17</f>
        <v>0</v>
      </c>
      <c r="O40" s="409">
        <f>Structures!L17</f>
        <v>0</v>
      </c>
      <c r="P40" s="409">
        <f>Structures!M17</f>
        <v>0</v>
      </c>
      <c r="Q40" s="409">
        <f>Structures!N17</f>
        <v>0</v>
      </c>
      <c r="R40" s="409">
        <f>Structures!O17</f>
        <v>0</v>
      </c>
      <c r="S40" s="409">
        <f>Structures!P17</f>
        <v>2633.3307</v>
      </c>
      <c r="T40" s="409">
        <f>Structures!Q17</f>
        <v>0</v>
      </c>
      <c r="U40" s="409">
        <f>Structures!R17</f>
        <v>2879.7407000000003</v>
      </c>
      <c r="V40" s="410">
        <f>Structures!S17</f>
        <v>0</v>
      </c>
      <c r="W40" s="411">
        <f>Structures!T17</f>
        <v>5415.1200000000008</v>
      </c>
      <c r="X40" s="409">
        <f>Adjustment!C43</f>
        <v>0</v>
      </c>
      <c r="Y40" s="409">
        <f>Adjustment!D43</f>
        <v>0</v>
      </c>
      <c r="Z40" s="409">
        <f>Adjustment!E43</f>
        <v>0</v>
      </c>
      <c r="AA40" s="409">
        <f>Adjustment!F43</f>
        <v>0</v>
      </c>
      <c r="AB40" s="409">
        <f>Adjustment!G43</f>
        <v>0</v>
      </c>
      <c r="AC40" s="409">
        <f>Adjustment!H43</f>
        <v>0</v>
      </c>
      <c r="AD40" s="409">
        <f>Adjustment!I43</f>
        <v>0</v>
      </c>
      <c r="AE40" s="409">
        <f>Adjustment!J43</f>
        <v>0</v>
      </c>
      <c r="AF40" s="409">
        <f>Adjustment!K43</f>
        <v>0</v>
      </c>
      <c r="AG40" s="413">
        <v>0</v>
      </c>
      <c r="AH40" s="42"/>
    </row>
    <row r="41" spans="1:34" x14ac:dyDescent="0.35">
      <c r="A41" s="405" t="s">
        <v>24</v>
      </c>
      <c r="B41" s="406" t="s">
        <v>230</v>
      </c>
      <c r="C41" s="407" t="s">
        <v>22</v>
      </c>
      <c r="D41" s="408"/>
      <c r="E41" s="409"/>
      <c r="F41" s="409"/>
      <c r="G41" s="409"/>
      <c r="H41" s="409">
        <f>Structures!E18</f>
        <v>26010.286599999999</v>
      </c>
      <c r="I41" s="409">
        <f>Structures!F18</f>
        <v>0</v>
      </c>
      <c r="J41" s="409">
        <f>Structures!G18</f>
        <v>0</v>
      </c>
      <c r="K41" s="409">
        <f>Structures!H18</f>
        <v>0</v>
      </c>
      <c r="L41" s="409">
        <f>Structures!I18</f>
        <v>0</v>
      </c>
      <c r="M41" s="409">
        <f>Structures!J18</f>
        <v>0</v>
      </c>
      <c r="N41" s="409">
        <f>Structures!K18</f>
        <v>0</v>
      </c>
      <c r="O41" s="409">
        <f>Structures!L18</f>
        <v>0</v>
      </c>
      <c r="P41" s="409">
        <f>Structures!M18</f>
        <v>0</v>
      </c>
      <c r="Q41" s="409">
        <f>Structures!N18</f>
        <v>0</v>
      </c>
      <c r="R41" s="409">
        <f>Structures!O18</f>
        <v>0</v>
      </c>
      <c r="S41" s="409">
        <f>Structures!P18</f>
        <v>0</v>
      </c>
      <c r="T41" s="409">
        <f>Structures!Q18</f>
        <v>0</v>
      </c>
      <c r="U41" s="409">
        <f>Structures!R18</f>
        <v>0</v>
      </c>
      <c r="V41" s="410">
        <f>Structures!S18</f>
        <v>0</v>
      </c>
      <c r="W41" s="411">
        <f>Structures!T18</f>
        <v>0</v>
      </c>
      <c r="X41" s="409">
        <f>Adjustment!C44</f>
        <v>0</v>
      </c>
      <c r="Y41" s="409">
        <f>Adjustment!D44</f>
        <v>0</v>
      </c>
      <c r="Z41" s="409">
        <f>Adjustment!E44</f>
        <v>0</v>
      </c>
      <c r="AA41" s="409">
        <f>Adjustment!F44</f>
        <v>0</v>
      </c>
      <c r="AB41" s="409">
        <f>Adjustment!G44</f>
        <v>0</v>
      </c>
      <c r="AC41" s="409">
        <f>Adjustment!H44</f>
        <v>0</v>
      </c>
      <c r="AD41" s="409">
        <f>Adjustment!I44</f>
        <v>0</v>
      </c>
      <c r="AE41" s="409">
        <f>Adjustment!J44</f>
        <v>0</v>
      </c>
      <c r="AF41" s="409">
        <f>Adjustment!K44</f>
        <v>0</v>
      </c>
      <c r="AG41" s="413">
        <v>0</v>
      </c>
      <c r="AH41" s="42"/>
    </row>
    <row r="42" spans="1:34" x14ac:dyDescent="0.35">
      <c r="A42" s="405" t="s">
        <v>24</v>
      </c>
      <c r="B42" s="406" t="s">
        <v>231</v>
      </c>
      <c r="C42" s="407" t="s">
        <v>22</v>
      </c>
      <c r="D42" s="408"/>
      <c r="E42" s="409"/>
      <c r="F42" s="409"/>
      <c r="G42" s="409"/>
      <c r="H42" s="409">
        <f>Structures!E19</f>
        <v>939.60000000000014</v>
      </c>
      <c r="I42" s="409">
        <f>Structures!F19</f>
        <v>0</v>
      </c>
      <c r="J42" s="409">
        <f>Structures!G19</f>
        <v>0</v>
      </c>
      <c r="K42" s="409">
        <f>Structures!H19</f>
        <v>0</v>
      </c>
      <c r="L42" s="409">
        <f>Structures!I19</f>
        <v>153.6</v>
      </c>
      <c r="M42" s="409">
        <f>Structures!J19</f>
        <v>5940.5999999999949</v>
      </c>
      <c r="N42" s="409">
        <f>Structures!K19</f>
        <v>795</v>
      </c>
      <c r="O42" s="409">
        <f>Structures!L19</f>
        <v>12065.40000000002</v>
      </c>
      <c r="P42" s="409">
        <f>Structures!M19</f>
        <v>0</v>
      </c>
      <c r="Q42" s="409">
        <f>Structures!N19</f>
        <v>1468.8000000000002</v>
      </c>
      <c r="R42" s="409">
        <f>Structures!O19</f>
        <v>1595.4</v>
      </c>
      <c r="S42" s="409">
        <f>Structures!P19</f>
        <v>12299.400000000007</v>
      </c>
      <c r="T42" s="409">
        <f>Structures!Q19</f>
        <v>939.60000000000014</v>
      </c>
      <c r="U42" s="409">
        <f>Structures!R19</f>
        <v>0</v>
      </c>
      <c r="V42" s="410">
        <f>Structures!S19</f>
        <v>0</v>
      </c>
      <c r="W42" s="411">
        <f>Structures!T19</f>
        <v>0</v>
      </c>
      <c r="X42" s="409">
        <f>Adjustment!C45</f>
        <v>0</v>
      </c>
      <c r="Y42" s="409">
        <f>Adjustment!D45</f>
        <v>0</v>
      </c>
      <c r="Z42" s="409">
        <f>Adjustment!E45</f>
        <v>0</v>
      </c>
      <c r="AA42" s="409">
        <f>Adjustment!F45</f>
        <v>0</v>
      </c>
      <c r="AB42" s="409">
        <f>Adjustment!G45</f>
        <v>0</v>
      </c>
      <c r="AC42" s="409">
        <f>Adjustment!H45</f>
        <v>0</v>
      </c>
      <c r="AD42" s="409">
        <f>Adjustment!I45</f>
        <v>0</v>
      </c>
      <c r="AE42" s="409">
        <f>Adjustment!J45</f>
        <v>0</v>
      </c>
      <c r="AF42" s="409">
        <f>Adjustment!K45</f>
        <v>0</v>
      </c>
      <c r="AG42" s="413">
        <v>0</v>
      </c>
      <c r="AH42" s="42"/>
    </row>
    <row r="43" spans="1:34" x14ac:dyDescent="0.35">
      <c r="A43" s="405" t="s">
        <v>24</v>
      </c>
      <c r="B43" s="406" t="s">
        <v>232</v>
      </c>
      <c r="C43" s="407" t="s">
        <v>22</v>
      </c>
      <c r="D43" s="408"/>
      <c r="E43" s="409"/>
      <c r="F43" s="409"/>
      <c r="G43" s="409"/>
      <c r="H43" s="409">
        <f>Structures!E20</f>
        <v>1258.2</v>
      </c>
      <c r="I43" s="409">
        <f>Structures!F20</f>
        <v>164.4</v>
      </c>
      <c r="J43" s="409">
        <f>Structures!G20</f>
        <v>0</v>
      </c>
      <c r="K43" s="409">
        <f>Structures!H20</f>
        <v>0</v>
      </c>
      <c r="L43" s="409">
        <f>Structures!I20</f>
        <v>0</v>
      </c>
      <c r="M43" s="409">
        <f>Structures!J20</f>
        <v>0</v>
      </c>
      <c r="N43" s="409">
        <f>Structures!K20</f>
        <v>0</v>
      </c>
      <c r="O43" s="409">
        <f>Structures!L20</f>
        <v>0</v>
      </c>
      <c r="P43" s="409">
        <f>Structures!M20</f>
        <v>0</v>
      </c>
      <c r="Q43" s="409">
        <f>Structures!N20</f>
        <v>0</v>
      </c>
      <c r="R43" s="409">
        <f>Structures!O20</f>
        <v>0</v>
      </c>
      <c r="S43" s="409">
        <f>Structures!P20</f>
        <v>0</v>
      </c>
      <c r="T43" s="409">
        <f>Structures!Q20</f>
        <v>0</v>
      </c>
      <c r="U43" s="409">
        <f>Structures!R20</f>
        <v>0</v>
      </c>
      <c r="V43" s="410">
        <f>Structures!S20</f>
        <v>0</v>
      </c>
      <c r="W43" s="411">
        <f>Structures!T20</f>
        <v>82.2</v>
      </c>
      <c r="X43" s="409">
        <f>Adjustment!C46</f>
        <v>0</v>
      </c>
      <c r="Y43" s="409">
        <f>Adjustment!D46</f>
        <v>0</v>
      </c>
      <c r="Z43" s="409">
        <f>Adjustment!E46</f>
        <v>0</v>
      </c>
      <c r="AA43" s="409">
        <f>Adjustment!F46</f>
        <v>0</v>
      </c>
      <c r="AB43" s="409">
        <f>Adjustment!G46</f>
        <v>0</v>
      </c>
      <c r="AC43" s="409">
        <f>Adjustment!H46</f>
        <v>0</v>
      </c>
      <c r="AD43" s="409">
        <f>Adjustment!I46</f>
        <v>0</v>
      </c>
      <c r="AE43" s="409">
        <f>Adjustment!J46</f>
        <v>0</v>
      </c>
      <c r="AF43" s="409">
        <f>Adjustment!K46</f>
        <v>0</v>
      </c>
      <c r="AG43" s="413">
        <v>0</v>
      </c>
      <c r="AH43" s="42"/>
    </row>
    <row r="44" spans="1:34" x14ac:dyDescent="0.35">
      <c r="A44" s="405" t="s">
        <v>24</v>
      </c>
      <c r="B44" s="406" t="s">
        <v>252</v>
      </c>
      <c r="C44" s="407" t="s">
        <v>23</v>
      </c>
      <c r="D44" s="408"/>
      <c r="E44" s="409"/>
      <c r="F44" s="409"/>
      <c r="G44" s="409"/>
      <c r="H44" s="409">
        <f>Structures!E21</f>
        <v>384.1</v>
      </c>
      <c r="I44" s="409">
        <f>Structures!F21</f>
        <v>276.40000000000003</v>
      </c>
      <c r="J44" s="409">
        <f>Structures!G21</f>
        <v>1086.0999999999999</v>
      </c>
      <c r="K44" s="409">
        <f>Structures!H21</f>
        <v>360.3</v>
      </c>
      <c r="L44" s="409">
        <f>Structures!I21</f>
        <v>628.30000000000007</v>
      </c>
      <c r="M44" s="409">
        <f>Structures!J21</f>
        <v>519.09999999999991</v>
      </c>
      <c r="N44" s="409">
        <f>Structures!K21</f>
        <v>413.20000000000022</v>
      </c>
      <c r="O44" s="409">
        <f>Structures!L21</f>
        <v>175</v>
      </c>
      <c r="P44" s="409">
        <f>Structures!M21</f>
        <v>403.20000000000005</v>
      </c>
      <c r="Q44" s="409">
        <f>Structures!N21</f>
        <v>173.2</v>
      </c>
      <c r="R44" s="409">
        <f>Structures!O21</f>
        <v>85.5</v>
      </c>
      <c r="S44" s="409">
        <f>Structures!P21</f>
        <v>35.799999999999997</v>
      </c>
      <c r="T44" s="409">
        <f>Structures!Q21</f>
        <v>564.80000000000007</v>
      </c>
      <c r="U44" s="409">
        <f>Structures!R21</f>
        <v>514.5</v>
      </c>
      <c r="V44" s="410">
        <f>Structures!S21</f>
        <v>187.79999999999998</v>
      </c>
      <c r="W44" s="411">
        <f>Structures!T21</f>
        <v>17.5</v>
      </c>
      <c r="X44" s="409">
        <f>Adjustment!C47</f>
        <v>387.59999999999997</v>
      </c>
      <c r="Y44" s="409">
        <f>Adjustment!D47</f>
        <v>180</v>
      </c>
      <c r="Z44" s="409">
        <f>Adjustment!E47</f>
        <v>112.39999999999999</v>
      </c>
      <c r="AA44" s="409">
        <f>Adjustment!F47</f>
        <v>93.4</v>
      </c>
      <c r="AB44" s="409">
        <f>Adjustment!G47</f>
        <v>1140.9000000000001</v>
      </c>
      <c r="AC44" s="409">
        <f>Adjustment!H47</f>
        <v>1037.5</v>
      </c>
      <c r="AD44" s="409">
        <f>Adjustment!I47</f>
        <v>247.3</v>
      </c>
      <c r="AE44" s="409">
        <f>Adjustment!J47</f>
        <v>35.799999999999997</v>
      </c>
      <c r="AF44" s="409">
        <f>Adjustment!K47</f>
        <v>348.49999999999994</v>
      </c>
      <c r="AG44" s="413">
        <v>348.49999999999994</v>
      </c>
      <c r="AH44" s="42"/>
    </row>
    <row r="45" spans="1:34" x14ac:dyDescent="0.35">
      <c r="A45" s="405" t="s">
        <v>24</v>
      </c>
      <c r="B45" s="406" t="s">
        <v>164</v>
      </c>
      <c r="C45" s="407" t="s">
        <v>22</v>
      </c>
      <c r="D45" s="408"/>
      <c r="E45" s="409"/>
      <c r="F45" s="409"/>
      <c r="G45" s="409"/>
      <c r="H45" s="409">
        <f>Structures!E22</f>
        <v>559.5489</v>
      </c>
      <c r="I45" s="409">
        <f>Structures!F22</f>
        <v>31</v>
      </c>
      <c r="J45" s="409">
        <f>Structures!G22</f>
        <v>34.751599999999996</v>
      </c>
      <c r="K45" s="409">
        <f>Structures!H22</f>
        <v>0</v>
      </c>
      <c r="L45" s="409">
        <f>Structures!I22</f>
        <v>0</v>
      </c>
      <c r="M45" s="409">
        <f>Structures!J22</f>
        <v>0</v>
      </c>
      <c r="N45" s="409">
        <f>Structures!K22</f>
        <v>37.209519999999998</v>
      </c>
      <c r="O45" s="409">
        <f>Structures!L22</f>
        <v>160.67599999999999</v>
      </c>
      <c r="P45" s="409">
        <f>Structures!M22</f>
        <v>43.511219999999994</v>
      </c>
      <c r="Q45" s="409">
        <f>Structures!N22</f>
        <v>20.824000000000002</v>
      </c>
      <c r="R45" s="409">
        <f>Structures!O22</f>
        <v>1511.3587999999988</v>
      </c>
      <c r="S45" s="409">
        <f>Structures!P22</f>
        <v>163.73399999999998</v>
      </c>
      <c r="T45" s="409">
        <f>Structures!Q22</f>
        <v>35.095440000000004</v>
      </c>
      <c r="U45" s="409">
        <f>Structures!R22</f>
        <v>127.4196</v>
      </c>
      <c r="V45" s="410">
        <f>Structures!S22</f>
        <v>2205.9511399999992</v>
      </c>
      <c r="W45" s="411">
        <f>Structures!T22</f>
        <v>379.42233999999996</v>
      </c>
      <c r="X45" s="409">
        <f>Adjustment!C48</f>
        <v>1156.4578999999999</v>
      </c>
      <c r="Y45" s="409">
        <f>Adjustment!D48</f>
        <v>896.86580000000004</v>
      </c>
      <c r="Z45" s="409">
        <f>Adjustment!E48</f>
        <v>0</v>
      </c>
      <c r="AA45" s="409">
        <f>Adjustment!F48</f>
        <v>0</v>
      </c>
      <c r="AB45" s="409">
        <f>Adjustment!G48</f>
        <v>0</v>
      </c>
      <c r="AC45" s="409">
        <f>Adjustment!H48</f>
        <v>0</v>
      </c>
      <c r="AD45" s="409">
        <f>Adjustment!I48</f>
        <v>0</v>
      </c>
      <c r="AE45" s="409">
        <f>Adjustment!J48</f>
        <v>2417.3218999999981</v>
      </c>
      <c r="AF45" s="409">
        <f>Adjustment!K48</f>
        <v>1448.6485999999998</v>
      </c>
      <c r="AG45" s="413">
        <v>1448.6485999999998</v>
      </c>
      <c r="AH45" s="42"/>
    </row>
    <row r="46" spans="1:34" x14ac:dyDescent="0.35">
      <c r="A46" s="405" t="s">
        <v>24</v>
      </c>
      <c r="B46" s="406" t="s">
        <v>251</v>
      </c>
      <c r="C46" s="407" t="s">
        <v>22</v>
      </c>
      <c r="D46" s="408"/>
      <c r="E46" s="409"/>
      <c r="F46" s="409"/>
      <c r="G46" s="409"/>
      <c r="H46" s="409">
        <f>Structures!E23</f>
        <v>0</v>
      </c>
      <c r="I46" s="409">
        <f>Structures!F23</f>
        <v>0</v>
      </c>
      <c r="J46" s="409">
        <f>Structures!G23</f>
        <v>0</v>
      </c>
      <c r="K46" s="409">
        <f>Structures!H23</f>
        <v>0</v>
      </c>
      <c r="L46" s="409">
        <f>Structures!I23</f>
        <v>0</v>
      </c>
      <c r="M46" s="409">
        <f>Structures!J23</f>
        <v>0</v>
      </c>
      <c r="N46" s="409">
        <f>Structures!K23</f>
        <v>0</v>
      </c>
      <c r="O46" s="409">
        <f>Structures!L23</f>
        <v>0</v>
      </c>
      <c r="P46" s="409">
        <f>Structures!M23</f>
        <v>616.14599999999996</v>
      </c>
      <c r="Q46" s="409">
        <f>Structures!N23</f>
        <v>0</v>
      </c>
      <c r="R46" s="409">
        <f>Structures!O23</f>
        <v>0</v>
      </c>
      <c r="S46" s="409">
        <f>Structures!P23</f>
        <v>0</v>
      </c>
      <c r="T46" s="409">
        <f>Structures!Q23</f>
        <v>0</v>
      </c>
      <c r="U46" s="409">
        <f>Structures!R23</f>
        <v>0</v>
      </c>
      <c r="V46" s="410">
        <f>Structures!S23</f>
        <v>0</v>
      </c>
      <c r="W46" s="411">
        <f>Structures!T23</f>
        <v>0</v>
      </c>
      <c r="X46" s="409">
        <f>Adjustment!C49</f>
        <v>0</v>
      </c>
      <c r="Y46" s="409">
        <f>Adjustment!D49</f>
        <v>0</v>
      </c>
      <c r="Z46" s="409">
        <f>Adjustment!E49</f>
        <v>0</v>
      </c>
      <c r="AA46" s="409">
        <f>Adjustment!F49</f>
        <v>0</v>
      </c>
      <c r="AB46" s="409">
        <f>Adjustment!G49</f>
        <v>0</v>
      </c>
      <c r="AC46" s="409">
        <f>Adjustment!H49</f>
        <v>0</v>
      </c>
      <c r="AD46" s="409">
        <f>Adjustment!I49</f>
        <v>0</v>
      </c>
      <c r="AE46" s="409">
        <f>Adjustment!J49</f>
        <v>0</v>
      </c>
      <c r="AF46" s="409">
        <f>Adjustment!K49</f>
        <v>0</v>
      </c>
      <c r="AG46" s="413">
        <v>0</v>
      </c>
      <c r="AH46" s="42"/>
    </row>
    <row r="47" spans="1:34" x14ac:dyDescent="0.35">
      <c r="A47" s="405" t="s">
        <v>24</v>
      </c>
      <c r="B47" s="406" t="s">
        <v>250</v>
      </c>
      <c r="C47" s="407" t="s">
        <v>22</v>
      </c>
      <c r="D47" s="408"/>
      <c r="E47" s="409"/>
      <c r="F47" s="409"/>
      <c r="G47" s="409"/>
      <c r="H47" s="409">
        <f>Structures!E24</f>
        <v>1100.2367999999999</v>
      </c>
      <c r="I47" s="409">
        <f>Structures!F24</f>
        <v>0</v>
      </c>
      <c r="J47" s="409">
        <f>Structures!G24</f>
        <v>0</v>
      </c>
      <c r="K47" s="409">
        <f>Structures!H24</f>
        <v>0</v>
      </c>
      <c r="L47" s="409">
        <f>Structures!I24</f>
        <v>0</v>
      </c>
      <c r="M47" s="409">
        <f>Structures!J24</f>
        <v>0</v>
      </c>
      <c r="N47" s="409">
        <f>Structures!K24</f>
        <v>0</v>
      </c>
      <c r="O47" s="409">
        <f>Structures!L24</f>
        <v>0</v>
      </c>
      <c r="P47" s="409">
        <f>Structures!M24</f>
        <v>200.19159999999997</v>
      </c>
      <c r="Q47" s="409">
        <f>Structures!N24</f>
        <v>7626.1287999999995</v>
      </c>
      <c r="R47" s="409">
        <f>Structures!O24</f>
        <v>11633.483399999983</v>
      </c>
      <c r="S47" s="409">
        <f>Structures!P24</f>
        <v>0</v>
      </c>
      <c r="T47" s="409">
        <f>Structures!Q24</f>
        <v>2019.3</v>
      </c>
      <c r="U47" s="409">
        <f>Structures!R24</f>
        <v>0</v>
      </c>
      <c r="V47" s="410">
        <f>Structures!S24</f>
        <v>1947.75</v>
      </c>
      <c r="W47" s="411">
        <f>Structures!T24</f>
        <v>1128.75</v>
      </c>
      <c r="X47" s="409">
        <f>Adjustment!C50</f>
        <v>0</v>
      </c>
      <c r="Y47" s="409">
        <f>Adjustment!D50</f>
        <v>0</v>
      </c>
      <c r="Z47" s="409">
        <f>Adjustment!E50</f>
        <v>0</v>
      </c>
      <c r="AA47" s="409">
        <f>Adjustment!F50</f>
        <v>0</v>
      </c>
      <c r="AB47" s="409">
        <f>Adjustment!G50</f>
        <v>0</v>
      </c>
      <c r="AC47" s="409">
        <f>Adjustment!H50</f>
        <v>0</v>
      </c>
      <c r="AD47" s="409">
        <f>Adjustment!I50</f>
        <v>620.1</v>
      </c>
      <c r="AE47" s="409">
        <f>Adjustment!J50</f>
        <v>0</v>
      </c>
      <c r="AF47" s="409">
        <f>Adjustment!K50</f>
        <v>0</v>
      </c>
      <c r="AG47" s="413">
        <v>0</v>
      </c>
      <c r="AH47" s="42"/>
    </row>
    <row r="48" spans="1:34" x14ac:dyDescent="0.35">
      <c r="A48" s="405" t="s">
        <v>159</v>
      </c>
      <c r="B48" s="406" t="s">
        <v>160</v>
      </c>
      <c r="C48" s="407" t="s">
        <v>22</v>
      </c>
      <c r="D48" s="408"/>
      <c r="E48" s="409"/>
      <c r="F48" s="409"/>
      <c r="G48" s="409"/>
      <c r="H48" s="409"/>
      <c r="I48" s="409"/>
      <c r="J48" s="409">
        <v>77</v>
      </c>
      <c r="K48" s="409"/>
      <c r="L48" s="409"/>
      <c r="M48" s="409"/>
      <c r="N48" s="409"/>
      <c r="O48" s="409"/>
      <c r="P48" s="409"/>
      <c r="Q48" s="409"/>
      <c r="R48" s="409"/>
      <c r="S48" s="409"/>
      <c r="T48" s="409">
        <v>515</v>
      </c>
      <c r="U48" s="409"/>
      <c r="V48" s="414"/>
      <c r="W48" s="412"/>
      <c r="X48" s="413"/>
      <c r="Y48" s="413"/>
      <c r="Z48" s="413"/>
      <c r="AA48" s="413"/>
      <c r="AB48" s="413"/>
      <c r="AC48" s="413"/>
      <c r="AD48" s="413"/>
      <c r="AE48" s="413"/>
      <c r="AF48" s="413"/>
      <c r="AG48" s="413"/>
      <c r="AH48" s="42"/>
    </row>
    <row r="49" spans="1:34" x14ac:dyDescent="0.35">
      <c r="A49" s="405" t="s">
        <v>159</v>
      </c>
      <c r="B49" s="406" t="s">
        <v>161</v>
      </c>
      <c r="C49" s="407" t="s">
        <v>162</v>
      </c>
      <c r="D49" s="408"/>
      <c r="E49" s="409">
        <v>10</v>
      </c>
      <c r="F49" s="409"/>
      <c r="G49" s="409">
        <v>2</v>
      </c>
      <c r="H49" s="409"/>
      <c r="I49" s="409"/>
      <c r="J49" s="409">
        <v>8</v>
      </c>
      <c r="K49" s="409"/>
      <c r="L49" s="409"/>
      <c r="M49" s="409"/>
      <c r="N49" s="409"/>
      <c r="O49" s="409">
        <v>8</v>
      </c>
      <c r="P49" s="409"/>
      <c r="Q49" s="409"/>
      <c r="R49" s="409"/>
      <c r="S49" s="409"/>
      <c r="T49" s="409">
        <v>12</v>
      </c>
      <c r="U49" s="409"/>
      <c r="V49" s="414"/>
      <c r="W49" s="412"/>
      <c r="X49" s="413"/>
      <c r="Y49" s="413">
        <v>16</v>
      </c>
      <c r="Z49" s="413"/>
      <c r="AA49" s="413"/>
      <c r="AB49" s="413"/>
      <c r="AC49" s="413"/>
      <c r="AD49" s="413">
        <v>7</v>
      </c>
      <c r="AE49" s="413"/>
      <c r="AF49" s="413"/>
      <c r="AG49" s="413"/>
      <c r="AH49" s="42"/>
    </row>
    <row r="50" spans="1:34" x14ac:dyDescent="0.35">
      <c r="A50" s="405" t="s">
        <v>159</v>
      </c>
      <c r="B50" s="406" t="s">
        <v>163</v>
      </c>
      <c r="C50" s="407" t="s">
        <v>22</v>
      </c>
      <c r="D50" s="408">
        <v>27654.879999999997</v>
      </c>
      <c r="E50" s="409">
        <v>23584.480000000007</v>
      </c>
      <c r="F50" s="409">
        <v>22438.260000000006</v>
      </c>
      <c r="G50" s="409"/>
      <c r="H50" s="409"/>
      <c r="I50" s="409"/>
      <c r="J50" s="409"/>
      <c r="K50" s="409"/>
      <c r="L50" s="409"/>
      <c r="M50" s="409"/>
      <c r="N50" s="409"/>
      <c r="O50" s="409"/>
      <c r="P50" s="409"/>
      <c r="Q50" s="409"/>
      <c r="R50" s="409"/>
      <c r="S50" s="409"/>
      <c r="T50" s="409"/>
      <c r="U50" s="409"/>
      <c r="V50" s="414"/>
      <c r="W50" s="412"/>
      <c r="X50" s="413"/>
      <c r="Y50" s="413"/>
      <c r="Z50" s="413"/>
      <c r="AA50" s="413"/>
      <c r="AB50" s="413"/>
      <c r="AC50" s="413"/>
      <c r="AD50" s="413"/>
      <c r="AE50" s="413"/>
      <c r="AF50" s="413"/>
      <c r="AG50" s="413"/>
      <c r="AH50" s="42"/>
    </row>
    <row r="51" spans="1:34" x14ac:dyDescent="0.35">
      <c r="A51" s="405" t="s">
        <v>159</v>
      </c>
      <c r="B51" s="406" t="s">
        <v>164</v>
      </c>
      <c r="C51" s="407" t="s">
        <v>22</v>
      </c>
      <c r="D51" s="408"/>
      <c r="E51" s="409"/>
      <c r="F51" s="409"/>
      <c r="G51" s="409"/>
      <c r="H51" s="409"/>
      <c r="I51" s="409"/>
      <c r="J51" s="409"/>
      <c r="K51" s="409"/>
      <c r="L51" s="409"/>
      <c r="M51" s="409"/>
      <c r="N51" s="409"/>
      <c r="O51" s="409"/>
      <c r="P51" s="409"/>
      <c r="Q51" s="409"/>
      <c r="R51" s="409"/>
      <c r="S51" s="409"/>
      <c r="T51" s="409">
        <v>3</v>
      </c>
      <c r="U51" s="409"/>
      <c r="V51" s="414"/>
      <c r="W51" s="412"/>
      <c r="X51" s="413"/>
      <c r="Y51" s="413">
        <v>30</v>
      </c>
      <c r="Z51" s="413"/>
      <c r="AA51" s="413"/>
      <c r="AB51" s="413"/>
      <c r="AC51" s="413"/>
      <c r="AD51" s="413"/>
      <c r="AE51" s="413"/>
      <c r="AF51" s="413"/>
      <c r="AG51" s="413"/>
      <c r="AH51" s="42"/>
    </row>
    <row r="52" spans="1:34" x14ac:dyDescent="0.35">
      <c r="A52" s="405" t="s">
        <v>165</v>
      </c>
      <c r="B52" s="406" t="s">
        <v>166</v>
      </c>
      <c r="C52" s="407" t="s">
        <v>12</v>
      </c>
      <c r="D52" s="408">
        <v>5</v>
      </c>
      <c r="E52" s="409">
        <v>5</v>
      </c>
      <c r="F52" s="409">
        <v>5</v>
      </c>
      <c r="G52" s="409">
        <v>5</v>
      </c>
      <c r="H52" s="409">
        <v>5</v>
      </c>
      <c r="I52" s="409">
        <v>5</v>
      </c>
      <c r="J52" s="409">
        <v>5</v>
      </c>
      <c r="K52" s="409">
        <v>5</v>
      </c>
      <c r="L52" s="409">
        <v>5</v>
      </c>
      <c r="M52" s="409">
        <v>5</v>
      </c>
      <c r="N52" s="409">
        <v>5</v>
      </c>
      <c r="O52" s="409">
        <v>5</v>
      </c>
      <c r="P52" s="409">
        <v>5</v>
      </c>
      <c r="Q52" s="409">
        <v>5</v>
      </c>
      <c r="R52" s="409">
        <v>5</v>
      </c>
      <c r="S52" s="409">
        <v>5</v>
      </c>
      <c r="T52" s="409">
        <v>5</v>
      </c>
      <c r="U52" s="409">
        <v>5</v>
      </c>
      <c r="V52" s="414">
        <v>5</v>
      </c>
      <c r="W52" s="412">
        <v>5</v>
      </c>
      <c r="X52" s="413">
        <v>5</v>
      </c>
      <c r="Y52" s="413">
        <v>5</v>
      </c>
      <c r="Z52" s="413">
        <v>5</v>
      </c>
      <c r="AA52" s="413">
        <v>5</v>
      </c>
      <c r="AB52" s="413">
        <v>5</v>
      </c>
      <c r="AC52" s="413">
        <v>5</v>
      </c>
      <c r="AD52" s="413">
        <v>5</v>
      </c>
      <c r="AE52" s="413">
        <v>5</v>
      </c>
      <c r="AF52" s="413">
        <v>5</v>
      </c>
      <c r="AG52" s="413">
        <v>5</v>
      </c>
      <c r="AH52" s="42"/>
    </row>
    <row r="53" spans="1:34" x14ac:dyDescent="0.35">
      <c r="A53" s="405" t="s">
        <v>167</v>
      </c>
      <c r="B53" s="406" t="s">
        <v>168</v>
      </c>
      <c r="C53" s="407" t="s">
        <v>12</v>
      </c>
      <c r="D53" s="408">
        <v>1</v>
      </c>
      <c r="E53" s="409">
        <v>1</v>
      </c>
      <c r="F53" s="409">
        <v>1</v>
      </c>
      <c r="G53" s="409">
        <v>1</v>
      </c>
      <c r="H53" s="409">
        <v>1</v>
      </c>
      <c r="I53" s="409">
        <v>1</v>
      </c>
      <c r="J53" s="409">
        <v>1</v>
      </c>
      <c r="K53" s="409">
        <v>1</v>
      </c>
      <c r="L53" s="409">
        <v>3</v>
      </c>
      <c r="M53" s="409">
        <v>3</v>
      </c>
      <c r="N53" s="409">
        <v>3</v>
      </c>
      <c r="O53" s="409">
        <v>3</v>
      </c>
      <c r="P53" s="409">
        <v>3</v>
      </c>
      <c r="Q53" s="409">
        <v>3</v>
      </c>
      <c r="R53" s="409">
        <v>3</v>
      </c>
      <c r="S53" s="409">
        <v>3</v>
      </c>
      <c r="T53" s="409">
        <v>3</v>
      </c>
      <c r="U53" s="409">
        <v>3</v>
      </c>
      <c r="V53" s="414">
        <v>3</v>
      </c>
      <c r="W53" s="412">
        <v>3</v>
      </c>
      <c r="X53" s="413">
        <v>3</v>
      </c>
      <c r="Y53" s="413">
        <v>3</v>
      </c>
      <c r="Z53" s="413">
        <v>3</v>
      </c>
      <c r="AA53" s="413">
        <v>3</v>
      </c>
      <c r="AB53" s="413">
        <v>3</v>
      </c>
      <c r="AC53" s="413">
        <v>3</v>
      </c>
      <c r="AD53" s="413">
        <v>3</v>
      </c>
      <c r="AE53" s="413">
        <v>3</v>
      </c>
      <c r="AF53" s="413">
        <v>3</v>
      </c>
      <c r="AG53" s="413">
        <v>3</v>
      </c>
      <c r="AH53" s="42"/>
    </row>
    <row r="54" spans="1:34" x14ac:dyDescent="0.35">
      <c r="A54" s="405" t="s">
        <v>169</v>
      </c>
      <c r="B54" s="406" t="s">
        <v>170</v>
      </c>
      <c r="C54" s="407" t="s">
        <v>12</v>
      </c>
      <c r="D54" s="408">
        <v>2</v>
      </c>
      <c r="E54" s="409">
        <v>2</v>
      </c>
      <c r="F54" s="409">
        <v>2</v>
      </c>
      <c r="G54" s="409">
        <v>2</v>
      </c>
      <c r="H54" s="409">
        <v>4</v>
      </c>
      <c r="I54" s="409">
        <v>2</v>
      </c>
      <c r="J54" s="409">
        <v>2</v>
      </c>
      <c r="K54" s="409">
        <v>3</v>
      </c>
      <c r="L54" s="409">
        <v>2</v>
      </c>
      <c r="M54" s="409">
        <v>1</v>
      </c>
      <c r="N54" s="409">
        <v>4</v>
      </c>
      <c r="O54" s="409">
        <v>1</v>
      </c>
      <c r="P54" s="409">
        <v>2</v>
      </c>
      <c r="Q54" s="409">
        <v>1</v>
      </c>
      <c r="R54" s="409">
        <v>2</v>
      </c>
      <c r="S54" s="409">
        <v>1</v>
      </c>
      <c r="T54" s="409">
        <v>4</v>
      </c>
      <c r="U54" s="409">
        <v>1</v>
      </c>
      <c r="V54" s="414">
        <v>2</v>
      </c>
      <c r="W54" s="412">
        <v>1</v>
      </c>
      <c r="X54" s="413">
        <v>2</v>
      </c>
      <c r="Y54" s="413">
        <v>1</v>
      </c>
      <c r="Z54" s="413">
        <v>4</v>
      </c>
      <c r="AA54" s="413">
        <v>1</v>
      </c>
      <c r="AB54" s="413">
        <v>2</v>
      </c>
      <c r="AC54" s="413">
        <v>1</v>
      </c>
      <c r="AD54" s="413">
        <v>2</v>
      </c>
      <c r="AE54" s="413">
        <v>1</v>
      </c>
      <c r="AF54" s="413">
        <v>1</v>
      </c>
      <c r="AG54" s="413">
        <v>1</v>
      </c>
      <c r="AH54" s="42"/>
    </row>
    <row r="55" spans="1:34" x14ac:dyDescent="0.35">
      <c r="A55" s="405" t="s">
        <v>171</v>
      </c>
      <c r="B55" s="406" t="s">
        <v>172</v>
      </c>
      <c r="C55" s="407" t="s">
        <v>12</v>
      </c>
      <c r="D55" s="408">
        <v>1</v>
      </c>
      <c r="E55" s="409">
        <v>1</v>
      </c>
      <c r="F55" s="409">
        <v>1</v>
      </c>
      <c r="G55" s="409">
        <v>1</v>
      </c>
      <c r="H55" s="409">
        <v>1</v>
      </c>
      <c r="I55" s="409">
        <v>1</v>
      </c>
      <c r="J55" s="409">
        <v>1</v>
      </c>
      <c r="K55" s="409">
        <v>1</v>
      </c>
      <c r="L55" s="409">
        <v>1</v>
      </c>
      <c r="M55" s="409">
        <v>1</v>
      </c>
      <c r="N55" s="409">
        <v>1</v>
      </c>
      <c r="O55" s="409">
        <v>1</v>
      </c>
      <c r="P55" s="409">
        <v>1</v>
      </c>
      <c r="Q55" s="409">
        <v>1</v>
      </c>
      <c r="R55" s="409">
        <v>1</v>
      </c>
      <c r="S55" s="409">
        <v>1</v>
      </c>
      <c r="T55" s="409">
        <v>1</v>
      </c>
      <c r="U55" s="409">
        <v>1</v>
      </c>
      <c r="V55" s="414">
        <v>1</v>
      </c>
      <c r="W55" s="412">
        <v>1</v>
      </c>
      <c r="X55" s="413">
        <v>1</v>
      </c>
      <c r="Y55" s="413">
        <v>1</v>
      </c>
      <c r="Z55" s="413">
        <v>1</v>
      </c>
      <c r="AA55" s="413">
        <v>1</v>
      </c>
      <c r="AB55" s="413">
        <v>1</v>
      </c>
      <c r="AC55" s="413">
        <v>1</v>
      </c>
      <c r="AD55" s="413">
        <v>1</v>
      </c>
      <c r="AE55" s="413">
        <v>1</v>
      </c>
      <c r="AF55" s="413">
        <v>1</v>
      </c>
      <c r="AG55" s="413">
        <v>1</v>
      </c>
      <c r="AH55" s="42"/>
    </row>
    <row r="56" spans="1:34" x14ac:dyDescent="0.35">
      <c r="A56" s="405" t="s">
        <v>173</v>
      </c>
      <c r="B56" s="406" t="s">
        <v>174</v>
      </c>
      <c r="C56" s="407" t="s">
        <v>12</v>
      </c>
      <c r="D56" s="408">
        <v>3</v>
      </c>
      <c r="E56" s="409">
        <v>3</v>
      </c>
      <c r="F56" s="409">
        <v>3</v>
      </c>
      <c r="G56" s="409">
        <v>3</v>
      </c>
      <c r="H56" s="409">
        <v>3</v>
      </c>
      <c r="I56" s="409">
        <v>3</v>
      </c>
      <c r="J56" s="409">
        <v>3</v>
      </c>
      <c r="K56" s="409">
        <v>3</v>
      </c>
      <c r="L56" s="409">
        <v>3</v>
      </c>
      <c r="M56" s="409">
        <v>3</v>
      </c>
      <c r="N56" s="409">
        <v>3</v>
      </c>
      <c r="O56" s="409">
        <v>3</v>
      </c>
      <c r="P56" s="409">
        <v>3</v>
      </c>
      <c r="Q56" s="409">
        <v>3</v>
      </c>
      <c r="R56" s="409">
        <v>3</v>
      </c>
      <c r="S56" s="409">
        <v>3</v>
      </c>
      <c r="T56" s="409">
        <v>3</v>
      </c>
      <c r="U56" s="409">
        <v>3</v>
      </c>
      <c r="V56" s="414">
        <v>3</v>
      </c>
      <c r="W56" s="412">
        <v>3</v>
      </c>
      <c r="X56" s="413">
        <v>3</v>
      </c>
      <c r="Y56" s="413">
        <v>3</v>
      </c>
      <c r="Z56" s="413">
        <v>3</v>
      </c>
      <c r="AA56" s="413">
        <v>3</v>
      </c>
      <c r="AB56" s="413">
        <v>3</v>
      </c>
      <c r="AC56" s="413">
        <v>3</v>
      </c>
      <c r="AD56" s="413">
        <v>3</v>
      </c>
      <c r="AE56" s="413">
        <v>3</v>
      </c>
      <c r="AF56" s="413">
        <v>3</v>
      </c>
      <c r="AG56" s="413">
        <v>3</v>
      </c>
      <c r="AH56" s="42"/>
    </row>
    <row r="57" spans="1:34" x14ac:dyDescent="0.35">
      <c r="A57" s="405" t="s">
        <v>175</v>
      </c>
      <c r="B57" s="406" t="s">
        <v>176</v>
      </c>
      <c r="C57" s="407" t="s">
        <v>12</v>
      </c>
      <c r="D57" s="408">
        <v>1</v>
      </c>
      <c r="E57" s="409"/>
      <c r="F57" s="409"/>
      <c r="G57" s="409"/>
      <c r="H57" s="409">
        <v>2</v>
      </c>
      <c r="I57" s="409">
        <v>1</v>
      </c>
      <c r="J57" s="409"/>
      <c r="K57" s="409"/>
      <c r="L57" s="409"/>
      <c r="M57" s="409">
        <v>0</v>
      </c>
      <c r="N57" s="409"/>
      <c r="O57" s="409"/>
      <c r="P57" s="409"/>
      <c r="Q57" s="409"/>
      <c r="R57" s="409">
        <v>2</v>
      </c>
      <c r="S57" s="409">
        <v>1</v>
      </c>
      <c r="T57" s="409"/>
      <c r="U57" s="409"/>
      <c r="V57" s="414"/>
      <c r="W57" s="412"/>
      <c r="X57" s="413"/>
      <c r="Y57" s="413"/>
      <c r="Z57" s="413"/>
      <c r="AA57" s="413"/>
      <c r="AB57" s="413">
        <v>2</v>
      </c>
      <c r="AC57" s="413">
        <v>1</v>
      </c>
      <c r="AD57" s="413"/>
      <c r="AE57" s="413"/>
      <c r="AF57" s="413"/>
      <c r="AG57" s="413"/>
      <c r="AH57" s="42"/>
    </row>
    <row r="58" spans="1:34" x14ac:dyDescent="0.35">
      <c r="A58" s="405" t="s">
        <v>177</v>
      </c>
      <c r="B58" s="406" t="s">
        <v>178</v>
      </c>
      <c r="C58" s="407" t="s">
        <v>12</v>
      </c>
      <c r="D58" s="408">
        <v>2</v>
      </c>
      <c r="E58" s="409">
        <v>1</v>
      </c>
      <c r="F58" s="409">
        <v>2</v>
      </c>
      <c r="G58" s="409">
        <v>1</v>
      </c>
      <c r="H58" s="409">
        <v>1</v>
      </c>
      <c r="I58" s="409">
        <v>1</v>
      </c>
      <c r="J58" s="409">
        <v>1</v>
      </c>
      <c r="K58" s="409">
        <v>1</v>
      </c>
      <c r="L58" s="409">
        <v>2</v>
      </c>
      <c r="M58" s="409">
        <v>1</v>
      </c>
      <c r="N58" s="409">
        <v>3</v>
      </c>
      <c r="O58" s="409">
        <v>3</v>
      </c>
      <c r="P58" s="409">
        <v>1</v>
      </c>
      <c r="Q58" s="409">
        <v>1</v>
      </c>
      <c r="R58" s="409">
        <v>1</v>
      </c>
      <c r="S58" s="409">
        <v>1</v>
      </c>
      <c r="T58" s="409">
        <v>2</v>
      </c>
      <c r="U58" s="409">
        <v>1</v>
      </c>
      <c r="V58" s="414">
        <v>1</v>
      </c>
      <c r="W58" s="412">
        <v>1</v>
      </c>
      <c r="X58" s="413">
        <v>1</v>
      </c>
      <c r="Y58" s="413">
        <v>1</v>
      </c>
      <c r="Z58" s="413">
        <v>1</v>
      </c>
      <c r="AA58" s="413">
        <v>1</v>
      </c>
      <c r="AB58" s="413">
        <v>1</v>
      </c>
      <c r="AC58" s="413">
        <v>1</v>
      </c>
      <c r="AD58" s="413">
        <v>11</v>
      </c>
      <c r="AE58" s="413"/>
      <c r="AF58" s="413"/>
      <c r="AG58" s="413"/>
      <c r="AH58" s="42"/>
    </row>
    <row r="59" spans="1:34" x14ac:dyDescent="0.35">
      <c r="A59" s="405" t="s">
        <v>179</v>
      </c>
      <c r="B59" s="406" t="s">
        <v>180</v>
      </c>
      <c r="C59" s="407" t="s">
        <v>12</v>
      </c>
      <c r="D59" s="408">
        <v>1</v>
      </c>
      <c r="E59" s="409">
        <v>2</v>
      </c>
      <c r="F59" s="409">
        <v>2</v>
      </c>
      <c r="G59" s="409">
        <v>2</v>
      </c>
      <c r="H59" s="409">
        <v>1</v>
      </c>
      <c r="I59" s="409">
        <v>2</v>
      </c>
      <c r="J59" s="409">
        <v>1</v>
      </c>
      <c r="K59" s="409">
        <v>2</v>
      </c>
      <c r="L59" s="409">
        <v>2</v>
      </c>
      <c r="M59" s="409">
        <v>2</v>
      </c>
      <c r="N59" s="409">
        <v>1</v>
      </c>
      <c r="O59" s="409">
        <v>2</v>
      </c>
      <c r="P59" s="409">
        <v>1</v>
      </c>
      <c r="Q59" s="409">
        <v>2</v>
      </c>
      <c r="R59" s="409">
        <v>1</v>
      </c>
      <c r="S59" s="409">
        <v>2</v>
      </c>
      <c r="T59" s="409">
        <v>1</v>
      </c>
      <c r="U59" s="409">
        <v>2</v>
      </c>
      <c r="V59" s="414">
        <v>1</v>
      </c>
      <c r="W59" s="412">
        <v>2</v>
      </c>
      <c r="X59" s="413">
        <v>2</v>
      </c>
      <c r="Y59" s="413">
        <v>2</v>
      </c>
      <c r="Z59" s="413">
        <v>1</v>
      </c>
      <c r="AA59" s="413">
        <v>2</v>
      </c>
      <c r="AB59" s="413">
        <v>1</v>
      </c>
      <c r="AC59" s="413">
        <v>2</v>
      </c>
      <c r="AD59" s="413">
        <v>2</v>
      </c>
      <c r="AE59" s="413">
        <v>2</v>
      </c>
      <c r="AF59" s="413">
        <v>2</v>
      </c>
      <c r="AG59" s="413">
        <v>2</v>
      </c>
      <c r="AH59" s="42"/>
    </row>
    <row r="60" spans="1:34" x14ac:dyDescent="0.35">
      <c r="A60" s="405" t="s">
        <v>181</v>
      </c>
      <c r="B60" s="406" t="s">
        <v>182</v>
      </c>
      <c r="C60" s="407" t="s">
        <v>12</v>
      </c>
      <c r="D60" s="408">
        <v>6</v>
      </c>
      <c r="E60" s="409">
        <v>6</v>
      </c>
      <c r="F60" s="409">
        <v>6</v>
      </c>
      <c r="G60" s="409">
        <v>6</v>
      </c>
      <c r="H60" s="409">
        <v>6</v>
      </c>
      <c r="I60" s="409">
        <v>6</v>
      </c>
      <c r="J60" s="409">
        <v>6</v>
      </c>
      <c r="K60" s="409">
        <v>6</v>
      </c>
      <c r="L60" s="409">
        <v>6</v>
      </c>
      <c r="M60" s="409">
        <v>6</v>
      </c>
      <c r="N60" s="409">
        <v>6</v>
      </c>
      <c r="O60" s="409">
        <v>6</v>
      </c>
      <c r="P60" s="409">
        <v>6</v>
      </c>
      <c r="Q60" s="409">
        <v>6</v>
      </c>
      <c r="R60" s="409">
        <v>6</v>
      </c>
      <c r="S60" s="409">
        <v>6</v>
      </c>
      <c r="T60" s="409">
        <v>6</v>
      </c>
      <c r="U60" s="409">
        <v>6</v>
      </c>
      <c r="V60" s="414">
        <v>6</v>
      </c>
      <c r="W60" s="412">
        <v>6</v>
      </c>
      <c r="X60" s="413">
        <v>6</v>
      </c>
      <c r="Y60" s="413">
        <v>6</v>
      </c>
      <c r="Z60" s="413">
        <v>6</v>
      </c>
      <c r="AA60" s="413">
        <v>6</v>
      </c>
      <c r="AB60" s="413">
        <v>6</v>
      </c>
      <c r="AC60" s="413">
        <v>6</v>
      </c>
      <c r="AD60" s="413"/>
      <c r="AE60" s="413">
        <v>6</v>
      </c>
      <c r="AF60" s="413">
        <v>6</v>
      </c>
      <c r="AG60" s="413">
        <v>6</v>
      </c>
      <c r="AH60" s="42"/>
    </row>
    <row r="61" spans="1:34" x14ac:dyDescent="0.35">
      <c r="A61" s="405" t="s">
        <v>183</v>
      </c>
      <c r="B61" s="406" t="s">
        <v>184</v>
      </c>
      <c r="C61" s="407" t="s">
        <v>12</v>
      </c>
      <c r="D61" s="408">
        <v>2</v>
      </c>
      <c r="E61" s="409">
        <v>2</v>
      </c>
      <c r="F61" s="409">
        <v>2</v>
      </c>
      <c r="G61" s="409">
        <v>2</v>
      </c>
      <c r="H61" s="409">
        <v>2</v>
      </c>
      <c r="I61" s="409">
        <v>2</v>
      </c>
      <c r="J61" s="409">
        <v>2</v>
      </c>
      <c r="K61" s="409">
        <v>2</v>
      </c>
      <c r="L61" s="409">
        <v>2</v>
      </c>
      <c r="M61" s="409">
        <v>2</v>
      </c>
      <c r="N61" s="409">
        <v>1</v>
      </c>
      <c r="O61" s="409">
        <v>1</v>
      </c>
      <c r="P61" s="409">
        <v>1</v>
      </c>
      <c r="Q61" s="409">
        <v>1</v>
      </c>
      <c r="R61" s="409">
        <v>1</v>
      </c>
      <c r="S61" s="409"/>
      <c r="T61" s="409"/>
      <c r="U61" s="409"/>
      <c r="V61" s="414"/>
      <c r="W61" s="412"/>
      <c r="X61" s="413"/>
      <c r="Y61" s="413"/>
      <c r="Z61" s="413"/>
      <c r="AA61" s="413"/>
      <c r="AB61" s="413"/>
      <c r="AC61" s="413"/>
      <c r="AD61" s="413"/>
      <c r="AE61" s="413"/>
      <c r="AF61" s="413"/>
      <c r="AG61" s="413"/>
      <c r="AH61" s="42"/>
    </row>
    <row r="62" spans="1:34" x14ac:dyDescent="0.35">
      <c r="A62" s="405" t="s">
        <v>185</v>
      </c>
      <c r="B62" s="406" t="s">
        <v>186</v>
      </c>
      <c r="C62" s="407" t="s">
        <v>12</v>
      </c>
      <c r="D62" s="408">
        <v>2</v>
      </c>
      <c r="E62" s="409">
        <v>2</v>
      </c>
      <c r="F62" s="409">
        <v>2</v>
      </c>
      <c r="G62" s="409">
        <v>2</v>
      </c>
      <c r="H62" s="409">
        <v>2</v>
      </c>
      <c r="I62" s="409">
        <v>2</v>
      </c>
      <c r="J62" s="409">
        <v>2</v>
      </c>
      <c r="K62" s="409">
        <v>2</v>
      </c>
      <c r="L62" s="409">
        <v>2</v>
      </c>
      <c r="M62" s="409">
        <v>2</v>
      </c>
      <c r="N62" s="409"/>
      <c r="O62" s="409"/>
      <c r="P62" s="409"/>
      <c r="Q62" s="409"/>
      <c r="R62" s="409"/>
      <c r="S62" s="409"/>
      <c r="T62" s="409"/>
      <c r="U62" s="409"/>
      <c r="V62" s="414"/>
      <c r="W62" s="412"/>
      <c r="X62" s="413"/>
      <c r="Y62" s="413"/>
      <c r="Z62" s="413"/>
      <c r="AA62" s="413"/>
      <c r="AB62" s="413"/>
      <c r="AC62" s="413"/>
      <c r="AD62" s="413"/>
      <c r="AE62" s="413"/>
      <c r="AF62" s="413"/>
      <c r="AG62" s="413"/>
      <c r="AH62" s="42"/>
    </row>
    <row r="63" spans="1:34" x14ac:dyDescent="0.35">
      <c r="A63" s="405" t="s">
        <v>187</v>
      </c>
      <c r="B63" s="406" t="s">
        <v>188</v>
      </c>
      <c r="C63" s="407" t="s">
        <v>12</v>
      </c>
      <c r="D63" s="408">
        <v>1</v>
      </c>
      <c r="E63" s="409">
        <v>1</v>
      </c>
      <c r="F63" s="409">
        <v>1</v>
      </c>
      <c r="G63" s="409">
        <v>1</v>
      </c>
      <c r="H63" s="409">
        <v>1</v>
      </c>
      <c r="I63" s="409">
        <v>1</v>
      </c>
      <c r="J63" s="409">
        <v>1</v>
      </c>
      <c r="K63" s="409">
        <v>1</v>
      </c>
      <c r="L63" s="409">
        <v>1</v>
      </c>
      <c r="M63" s="409">
        <v>1</v>
      </c>
      <c r="N63" s="409">
        <v>1</v>
      </c>
      <c r="O63" s="409">
        <v>1</v>
      </c>
      <c r="P63" s="409">
        <v>1</v>
      </c>
      <c r="Q63" s="409">
        <v>1</v>
      </c>
      <c r="R63" s="409">
        <v>1</v>
      </c>
      <c r="S63" s="409">
        <v>1</v>
      </c>
      <c r="T63" s="409">
        <v>1</v>
      </c>
      <c r="U63" s="409">
        <v>1</v>
      </c>
      <c r="V63" s="414">
        <v>1</v>
      </c>
      <c r="W63" s="412">
        <v>1</v>
      </c>
      <c r="X63" s="413">
        <v>1</v>
      </c>
      <c r="Y63" s="413">
        <v>1</v>
      </c>
      <c r="Z63" s="413">
        <v>1</v>
      </c>
      <c r="AA63" s="413">
        <v>1</v>
      </c>
      <c r="AB63" s="413">
        <v>1</v>
      </c>
      <c r="AC63" s="413">
        <v>1</v>
      </c>
      <c r="AD63" s="413">
        <v>1</v>
      </c>
      <c r="AE63" s="413">
        <v>1</v>
      </c>
      <c r="AF63" s="413">
        <v>1</v>
      </c>
      <c r="AG63" s="413">
        <v>1</v>
      </c>
      <c r="AH63" s="42"/>
    </row>
    <row r="64" spans="1:34" x14ac:dyDescent="0.35">
      <c r="A64" s="415" t="s">
        <v>26</v>
      </c>
      <c r="B64" s="416" t="s">
        <v>120</v>
      </c>
      <c r="C64" s="417" t="s">
        <v>12</v>
      </c>
      <c r="D64" s="418">
        <v>1</v>
      </c>
      <c r="E64" s="419"/>
      <c r="F64" s="419"/>
      <c r="G64" s="419">
        <v>1</v>
      </c>
      <c r="H64" s="419"/>
      <c r="I64" s="419"/>
      <c r="J64" s="419"/>
      <c r="K64" s="419"/>
      <c r="L64" s="419"/>
      <c r="M64" s="419">
        <v>1</v>
      </c>
      <c r="N64" s="419"/>
      <c r="O64" s="419">
        <v>1</v>
      </c>
      <c r="P64" s="419"/>
      <c r="Q64" s="419"/>
      <c r="R64" s="419"/>
      <c r="S64" s="419">
        <v>1</v>
      </c>
      <c r="T64" s="419"/>
      <c r="U64" s="419"/>
      <c r="V64" s="420"/>
      <c r="W64" s="421"/>
      <c r="X64" s="422"/>
      <c r="Y64" s="422">
        <v>1</v>
      </c>
      <c r="Z64" s="422"/>
      <c r="AA64" s="422"/>
      <c r="AB64" s="422"/>
      <c r="AC64" s="422"/>
      <c r="AD64" s="422"/>
      <c r="AE64" s="422">
        <v>1</v>
      </c>
      <c r="AF64" s="422">
        <v>1</v>
      </c>
      <c r="AG64" s="422"/>
      <c r="AH64" s="43"/>
    </row>
    <row r="65" spans="1:34" x14ac:dyDescent="0.35">
      <c r="A65" s="415" t="s">
        <v>26</v>
      </c>
      <c r="B65" s="416" t="s">
        <v>121</v>
      </c>
      <c r="C65" s="417" t="s">
        <v>12</v>
      </c>
      <c r="D65" s="418">
        <v>4</v>
      </c>
      <c r="E65" s="419">
        <v>3</v>
      </c>
      <c r="F65" s="419">
        <v>2</v>
      </c>
      <c r="G65" s="419"/>
      <c r="H65" s="419">
        <v>2</v>
      </c>
      <c r="I65" s="419">
        <v>2</v>
      </c>
      <c r="J65" s="419">
        <v>1</v>
      </c>
      <c r="K65" s="419">
        <v>2</v>
      </c>
      <c r="L65" s="419">
        <v>1</v>
      </c>
      <c r="M65" s="419">
        <v>1</v>
      </c>
      <c r="N65" s="419">
        <v>4</v>
      </c>
      <c r="O65" s="419">
        <v>4</v>
      </c>
      <c r="P65" s="419"/>
      <c r="Q65" s="419">
        <v>3</v>
      </c>
      <c r="R65" s="419">
        <v>3</v>
      </c>
      <c r="S65" s="419">
        <v>2</v>
      </c>
      <c r="T65" s="419">
        <v>4</v>
      </c>
      <c r="U65" s="419">
        <v>2</v>
      </c>
      <c r="V65" s="420"/>
      <c r="W65" s="421">
        <v>2</v>
      </c>
      <c r="X65" s="422">
        <v>2</v>
      </c>
      <c r="Y65" s="422"/>
      <c r="Z65" s="422">
        <v>3</v>
      </c>
      <c r="AA65" s="422">
        <v>1</v>
      </c>
      <c r="AB65" s="422"/>
      <c r="AC65" s="422">
        <v>2</v>
      </c>
      <c r="AD65" s="422">
        <v>2</v>
      </c>
      <c r="AE65" s="422"/>
      <c r="AF65" s="422"/>
      <c r="AG65" s="422">
        <v>2</v>
      </c>
      <c r="AH65" s="43"/>
    </row>
    <row r="66" spans="1:34" ht="28" x14ac:dyDescent="0.35">
      <c r="A66" s="415" t="s">
        <v>26</v>
      </c>
      <c r="B66" s="416" t="s">
        <v>122</v>
      </c>
      <c r="C66" s="417" t="s">
        <v>12</v>
      </c>
      <c r="D66" s="418">
        <v>1</v>
      </c>
      <c r="E66" s="419">
        <v>1</v>
      </c>
      <c r="F66" s="419">
        <v>1</v>
      </c>
      <c r="G66" s="419">
        <v>4</v>
      </c>
      <c r="H66" s="419">
        <v>7</v>
      </c>
      <c r="I66" s="419">
        <v>2</v>
      </c>
      <c r="J66" s="419">
        <v>1</v>
      </c>
      <c r="K66" s="419"/>
      <c r="L66" s="419"/>
      <c r="M66" s="419"/>
      <c r="N66" s="419"/>
      <c r="O66" s="419"/>
      <c r="P66" s="419"/>
      <c r="Q66" s="419"/>
      <c r="R66" s="419">
        <v>2</v>
      </c>
      <c r="S66" s="419">
        <v>5</v>
      </c>
      <c r="T66" s="419"/>
      <c r="U66" s="419">
        <v>1</v>
      </c>
      <c r="V66" s="420"/>
      <c r="W66" s="421">
        <v>3</v>
      </c>
      <c r="X66" s="422"/>
      <c r="Y66" s="422"/>
      <c r="Z66" s="422">
        <v>2</v>
      </c>
      <c r="AA66" s="422">
        <v>2</v>
      </c>
      <c r="AB66" s="422">
        <v>3</v>
      </c>
      <c r="AC66" s="422">
        <v>1</v>
      </c>
      <c r="AD66" s="422"/>
      <c r="AE66" s="422"/>
      <c r="AF66" s="422"/>
      <c r="AG66" s="422"/>
      <c r="AH66" s="43"/>
    </row>
    <row r="67" spans="1:34" x14ac:dyDescent="0.35">
      <c r="A67" s="415" t="s">
        <v>27</v>
      </c>
      <c r="B67" s="416" t="s">
        <v>28</v>
      </c>
      <c r="C67" s="417" t="s">
        <v>12</v>
      </c>
      <c r="D67" s="418"/>
      <c r="E67" s="419">
        <v>4</v>
      </c>
      <c r="F67" s="419">
        <v>6</v>
      </c>
      <c r="G67" s="419"/>
      <c r="H67" s="419">
        <v>2</v>
      </c>
      <c r="I67" s="419">
        <v>4</v>
      </c>
      <c r="J67" s="419">
        <v>2</v>
      </c>
      <c r="K67" s="419">
        <v>2</v>
      </c>
      <c r="L67" s="419">
        <v>2</v>
      </c>
      <c r="M67" s="419"/>
      <c r="N67" s="419"/>
      <c r="O67" s="419">
        <v>8</v>
      </c>
      <c r="P67" s="419">
        <v>3</v>
      </c>
      <c r="Q67" s="419"/>
      <c r="R67" s="419">
        <v>0</v>
      </c>
      <c r="S67" s="419">
        <v>5</v>
      </c>
      <c r="T67" s="419">
        <v>4</v>
      </c>
      <c r="U67" s="419">
        <v>4</v>
      </c>
      <c r="V67" s="420">
        <v>2</v>
      </c>
      <c r="W67" s="421">
        <v>4</v>
      </c>
      <c r="X67" s="422">
        <v>1</v>
      </c>
      <c r="Y67" s="422"/>
      <c r="Z67" s="422">
        <v>1</v>
      </c>
      <c r="AA67" s="422">
        <v>2</v>
      </c>
      <c r="AB67" s="422">
        <v>5</v>
      </c>
      <c r="AC67" s="422">
        <v>7</v>
      </c>
      <c r="AD67" s="422"/>
      <c r="AE67" s="422"/>
      <c r="AF67" s="422">
        <v>2</v>
      </c>
      <c r="AG67" s="422"/>
      <c r="AH67" s="43"/>
    </row>
    <row r="68" spans="1:34" x14ac:dyDescent="0.35">
      <c r="A68" s="415" t="s">
        <v>27</v>
      </c>
      <c r="B68" s="416" t="s">
        <v>29</v>
      </c>
      <c r="C68" s="417" t="s">
        <v>12</v>
      </c>
      <c r="D68" s="418">
        <v>1</v>
      </c>
      <c r="E68" s="419">
        <v>1</v>
      </c>
      <c r="F68" s="419">
        <v>2</v>
      </c>
      <c r="G68" s="419">
        <v>2</v>
      </c>
      <c r="H68" s="419">
        <v>2</v>
      </c>
      <c r="I68" s="419"/>
      <c r="J68" s="419">
        <v>8</v>
      </c>
      <c r="K68" s="419"/>
      <c r="L68" s="419">
        <v>2</v>
      </c>
      <c r="M68" s="419">
        <v>2</v>
      </c>
      <c r="N68" s="419">
        <v>1</v>
      </c>
      <c r="O68" s="419">
        <v>2</v>
      </c>
      <c r="P68" s="419"/>
      <c r="Q68" s="419">
        <v>2</v>
      </c>
      <c r="R68" s="419">
        <v>4</v>
      </c>
      <c r="S68" s="419">
        <v>10</v>
      </c>
      <c r="T68" s="419"/>
      <c r="U68" s="419">
        <v>4</v>
      </c>
      <c r="V68" s="420">
        <v>6</v>
      </c>
      <c r="W68" s="421">
        <v>1</v>
      </c>
      <c r="X68" s="422"/>
      <c r="Y68" s="422"/>
      <c r="Z68" s="422">
        <v>2</v>
      </c>
      <c r="AA68" s="422">
        <v>3</v>
      </c>
      <c r="AB68" s="422">
        <v>5</v>
      </c>
      <c r="AC68" s="422"/>
      <c r="AD68" s="422">
        <v>2</v>
      </c>
      <c r="AE68" s="422"/>
      <c r="AF68" s="422">
        <v>1</v>
      </c>
      <c r="AG68" s="422"/>
      <c r="AH68" s="43"/>
    </row>
    <row r="69" spans="1:34" x14ac:dyDescent="0.35">
      <c r="A69" s="415" t="s">
        <v>27</v>
      </c>
      <c r="B69" s="416" t="s">
        <v>15</v>
      </c>
      <c r="C69" s="417" t="s">
        <v>12</v>
      </c>
      <c r="D69" s="418">
        <v>2</v>
      </c>
      <c r="E69" s="419">
        <v>3</v>
      </c>
      <c r="F69" s="419">
        <v>3</v>
      </c>
      <c r="G69" s="419"/>
      <c r="H69" s="419">
        <v>3</v>
      </c>
      <c r="I69" s="419"/>
      <c r="J69" s="419">
        <v>2</v>
      </c>
      <c r="K69" s="419">
        <v>4</v>
      </c>
      <c r="L69" s="419"/>
      <c r="M69" s="419">
        <v>2</v>
      </c>
      <c r="N69" s="419"/>
      <c r="O69" s="419">
        <v>2</v>
      </c>
      <c r="P69" s="419">
        <v>1</v>
      </c>
      <c r="Q69" s="419">
        <v>2</v>
      </c>
      <c r="R69" s="419">
        <v>5</v>
      </c>
      <c r="S69" s="419"/>
      <c r="T69" s="419"/>
      <c r="U69" s="419">
        <v>1</v>
      </c>
      <c r="V69" s="420"/>
      <c r="W69" s="421">
        <v>1</v>
      </c>
      <c r="X69" s="422"/>
      <c r="Y69" s="422">
        <v>1</v>
      </c>
      <c r="Z69" s="422"/>
      <c r="AA69" s="422">
        <v>3</v>
      </c>
      <c r="AB69" s="422">
        <v>3</v>
      </c>
      <c r="AC69" s="422">
        <v>2</v>
      </c>
      <c r="AD69" s="422">
        <v>3</v>
      </c>
      <c r="AE69" s="422"/>
      <c r="AF69" s="422">
        <v>3</v>
      </c>
      <c r="AG69" s="422"/>
      <c r="AH69" s="43"/>
    </row>
    <row r="70" spans="1:34" x14ac:dyDescent="0.35">
      <c r="A70" s="415" t="s">
        <v>27</v>
      </c>
      <c r="B70" s="416" t="s">
        <v>30</v>
      </c>
      <c r="C70" s="417" t="s">
        <v>12</v>
      </c>
      <c r="D70" s="418">
        <v>4</v>
      </c>
      <c r="E70" s="419">
        <v>3</v>
      </c>
      <c r="F70" s="419">
        <v>2</v>
      </c>
      <c r="G70" s="419">
        <v>3</v>
      </c>
      <c r="H70" s="419">
        <v>4</v>
      </c>
      <c r="I70" s="419">
        <v>3</v>
      </c>
      <c r="J70" s="419">
        <v>6</v>
      </c>
      <c r="K70" s="419">
        <v>1</v>
      </c>
      <c r="L70" s="419">
        <v>3</v>
      </c>
      <c r="M70" s="419">
        <v>3</v>
      </c>
      <c r="N70" s="419">
        <v>7</v>
      </c>
      <c r="O70" s="419">
        <v>15</v>
      </c>
      <c r="P70" s="419">
        <v>1</v>
      </c>
      <c r="Q70" s="419">
        <v>2</v>
      </c>
      <c r="R70" s="419">
        <v>3</v>
      </c>
      <c r="S70" s="419">
        <v>10</v>
      </c>
      <c r="T70" s="419">
        <v>5</v>
      </c>
      <c r="U70" s="419">
        <v>9</v>
      </c>
      <c r="V70" s="420">
        <v>2</v>
      </c>
      <c r="W70" s="421">
        <v>2</v>
      </c>
      <c r="X70" s="422">
        <v>5</v>
      </c>
      <c r="Y70" s="422"/>
      <c r="Z70" s="422">
        <v>2</v>
      </c>
      <c r="AA70" s="422">
        <v>3</v>
      </c>
      <c r="AB70" s="422">
        <v>6</v>
      </c>
      <c r="AC70" s="422">
        <v>3</v>
      </c>
      <c r="AD70" s="422"/>
      <c r="AE70" s="422">
        <v>2</v>
      </c>
      <c r="AF70" s="422"/>
      <c r="AG70" s="422"/>
      <c r="AH70" s="43"/>
    </row>
    <row r="71" spans="1:34" x14ac:dyDescent="0.35">
      <c r="A71" s="415" t="s">
        <v>27</v>
      </c>
      <c r="B71" s="416" t="s">
        <v>31</v>
      </c>
      <c r="C71" s="417" t="s">
        <v>12</v>
      </c>
      <c r="D71" s="418">
        <v>8</v>
      </c>
      <c r="E71" s="419"/>
      <c r="F71" s="419"/>
      <c r="G71" s="419">
        <v>10</v>
      </c>
      <c r="H71" s="419">
        <v>3</v>
      </c>
      <c r="I71" s="419"/>
      <c r="J71" s="419">
        <v>9</v>
      </c>
      <c r="K71" s="419"/>
      <c r="L71" s="419">
        <v>1</v>
      </c>
      <c r="M71" s="419">
        <v>13</v>
      </c>
      <c r="N71" s="419">
        <v>1</v>
      </c>
      <c r="O71" s="419"/>
      <c r="P71" s="419">
        <v>8</v>
      </c>
      <c r="Q71" s="419"/>
      <c r="R71" s="419"/>
      <c r="S71" s="419">
        <v>14</v>
      </c>
      <c r="T71" s="419">
        <v>4</v>
      </c>
      <c r="U71" s="419">
        <v>3</v>
      </c>
      <c r="V71" s="420">
        <v>9</v>
      </c>
      <c r="W71" s="421">
        <v>5</v>
      </c>
      <c r="X71" s="422">
        <v>2</v>
      </c>
      <c r="Y71" s="422">
        <v>7</v>
      </c>
      <c r="Z71" s="422"/>
      <c r="AA71" s="422"/>
      <c r="AB71" s="422">
        <v>8</v>
      </c>
      <c r="AC71" s="422">
        <v>5</v>
      </c>
      <c r="AD71" s="422"/>
      <c r="AE71" s="422">
        <v>8</v>
      </c>
      <c r="AF71" s="422"/>
      <c r="AG71" s="422"/>
      <c r="AH71" s="43"/>
    </row>
    <row r="72" spans="1:34" x14ac:dyDescent="0.35">
      <c r="A72" s="415" t="s">
        <v>27</v>
      </c>
      <c r="B72" s="416" t="s">
        <v>32</v>
      </c>
      <c r="C72" s="417" t="s">
        <v>12</v>
      </c>
      <c r="D72" s="418">
        <v>1</v>
      </c>
      <c r="E72" s="419"/>
      <c r="F72" s="419"/>
      <c r="G72" s="419"/>
      <c r="H72" s="419"/>
      <c r="I72" s="419"/>
      <c r="J72" s="419"/>
      <c r="K72" s="419"/>
      <c r="L72" s="419">
        <v>2</v>
      </c>
      <c r="M72" s="419"/>
      <c r="N72" s="419"/>
      <c r="O72" s="419"/>
      <c r="P72" s="419"/>
      <c r="Q72" s="419"/>
      <c r="R72" s="419"/>
      <c r="S72" s="419"/>
      <c r="T72" s="419"/>
      <c r="U72" s="419">
        <v>1</v>
      </c>
      <c r="V72" s="420"/>
      <c r="W72" s="421"/>
      <c r="X72" s="422"/>
      <c r="Y72" s="422"/>
      <c r="Z72" s="422"/>
      <c r="AA72" s="422"/>
      <c r="AB72" s="422"/>
      <c r="AC72" s="422"/>
      <c r="AD72" s="422">
        <v>2</v>
      </c>
      <c r="AE72" s="422"/>
      <c r="AF72" s="422"/>
      <c r="AG72" s="422"/>
      <c r="AH72" s="43"/>
    </row>
    <row r="73" spans="1:34" x14ac:dyDescent="0.35">
      <c r="A73" s="415" t="s">
        <v>27</v>
      </c>
      <c r="B73" s="416" t="s">
        <v>33</v>
      </c>
      <c r="C73" s="417" t="s">
        <v>12</v>
      </c>
      <c r="D73" s="418"/>
      <c r="E73" s="419">
        <v>4</v>
      </c>
      <c r="F73" s="419">
        <v>1</v>
      </c>
      <c r="G73" s="419"/>
      <c r="H73" s="419">
        <v>3</v>
      </c>
      <c r="I73" s="419"/>
      <c r="J73" s="419"/>
      <c r="K73" s="419">
        <v>1</v>
      </c>
      <c r="L73" s="419">
        <v>3</v>
      </c>
      <c r="M73" s="419">
        <v>1</v>
      </c>
      <c r="N73" s="419">
        <v>2</v>
      </c>
      <c r="O73" s="419">
        <v>5</v>
      </c>
      <c r="P73" s="419"/>
      <c r="Q73" s="419"/>
      <c r="R73" s="419"/>
      <c r="S73" s="419">
        <v>4</v>
      </c>
      <c r="T73" s="419">
        <v>1</v>
      </c>
      <c r="U73" s="419">
        <v>1</v>
      </c>
      <c r="V73" s="420">
        <v>3</v>
      </c>
      <c r="W73" s="421">
        <v>1</v>
      </c>
      <c r="X73" s="422"/>
      <c r="Y73" s="422">
        <v>1</v>
      </c>
      <c r="Z73" s="422">
        <v>3</v>
      </c>
      <c r="AA73" s="422">
        <v>1</v>
      </c>
      <c r="AB73" s="422"/>
      <c r="AC73" s="422">
        <v>6</v>
      </c>
      <c r="AD73" s="422"/>
      <c r="AE73" s="422"/>
      <c r="AF73" s="422"/>
      <c r="AG73" s="422"/>
      <c r="AH73" s="43"/>
    </row>
    <row r="74" spans="1:34" x14ac:dyDescent="0.35">
      <c r="A74" s="415" t="s">
        <v>27</v>
      </c>
      <c r="B74" s="416" t="s">
        <v>34</v>
      </c>
      <c r="C74" s="417" t="s">
        <v>12</v>
      </c>
      <c r="D74" s="418">
        <v>2</v>
      </c>
      <c r="E74" s="419"/>
      <c r="F74" s="419"/>
      <c r="G74" s="419"/>
      <c r="H74" s="419">
        <v>2</v>
      </c>
      <c r="I74" s="419"/>
      <c r="J74" s="419"/>
      <c r="K74" s="419"/>
      <c r="L74" s="419"/>
      <c r="M74" s="419">
        <v>2</v>
      </c>
      <c r="N74" s="419"/>
      <c r="O74" s="419"/>
      <c r="P74" s="419">
        <v>2</v>
      </c>
      <c r="Q74" s="419"/>
      <c r="R74" s="419"/>
      <c r="S74" s="419"/>
      <c r="T74" s="419"/>
      <c r="U74" s="419">
        <v>2</v>
      </c>
      <c r="V74" s="420"/>
      <c r="W74" s="421"/>
      <c r="X74" s="422"/>
      <c r="Y74" s="422"/>
      <c r="Z74" s="422"/>
      <c r="AA74" s="422"/>
      <c r="AB74" s="422"/>
      <c r="AC74" s="422">
        <v>2</v>
      </c>
      <c r="AD74" s="422"/>
      <c r="AE74" s="422"/>
      <c r="AF74" s="422"/>
      <c r="AG74" s="422"/>
      <c r="AH74" s="43"/>
    </row>
    <row r="75" spans="1:34" x14ac:dyDescent="0.35">
      <c r="A75" s="415" t="s">
        <v>27</v>
      </c>
      <c r="B75" s="416" t="s">
        <v>35</v>
      </c>
      <c r="C75" s="417" t="s">
        <v>12</v>
      </c>
      <c r="D75" s="418"/>
      <c r="E75" s="419"/>
      <c r="F75" s="419"/>
      <c r="G75" s="419"/>
      <c r="H75" s="419"/>
      <c r="I75" s="419"/>
      <c r="J75" s="419"/>
      <c r="K75" s="419"/>
      <c r="L75" s="419"/>
      <c r="M75" s="419"/>
      <c r="N75" s="419"/>
      <c r="O75" s="419"/>
      <c r="P75" s="419"/>
      <c r="Q75" s="419"/>
      <c r="R75" s="419"/>
      <c r="S75" s="419"/>
      <c r="T75" s="419"/>
      <c r="U75" s="419"/>
      <c r="V75" s="420"/>
      <c r="W75" s="421"/>
      <c r="X75" s="422"/>
      <c r="Y75" s="422"/>
      <c r="Z75" s="422"/>
      <c r="AA75" s="422"/>
      <c r="AB75" s="422"/>
      <c r="AC75" s="422"/>
      <c r="AD75" s="422"/>
      <c r="AE75" s="422"/>
      <c r="AF75" s="422"/>
      <c r="AG75" s="422"/>
      <c r="AH75" s="43"/>
    </row>
    <row r="76" spans="1:34" x14ac:dyDescent="0.35">
      <c r="A76" s="415" t="s">
        <v>27</v>
      </c>
      <c r="B76" s="416" t="s">
        <v>36</v>
      </c>
      <c r="C76" s="417" t="s">
        <v>12</v>
      </c>
      <c r="D76" s="418">
        <v>4</v>
      </c>
      <c r="E76" s="419">
        <v>8</v>
      </c>
      <c r="F76" s="419">
        <v>8</v>
      </c>
      <c r="G76" s="419">
        <v>5</v>
      </c>
      <c r="H76" s="419">
        <v>6</v>
      </c>
      <c r="I76" s="419">
        <v>12</v>
      </c>
      <c r="J76" s="419">
        <v>13</v>
      </c>
      <c r="K76" s="419">
        <v>7</v>
      </c>
      <c r="L76" s="419">
        <v>5</v>
      </c>
      <c r="M76" s="419">
        <v>11</v>
      </c>
      <c r="N76" s="419">
        <v>2</v>
      </c>
      <c r="O76" s="419">
        <v>2</v>
      </c>
      <c r="P76" s="419">
        <v>11</v>
      </c>
      <c r="Q76" s="419">
        <v>11</v>
      </c>
      <c r="R76" s="419">
        <v>15</v>
      </c>
      <c r="S76" s="419">
        <v>10</v>
      </c>
      <c r="T76" s="419">
        <v>5</v>
      </c>
      <c r="U76" s="419">
        <v>9</v>
      </c>
      <c r="V76" s="420">
        <v>3</v>
      </c>
      <c r="W76" s="421">
        <v>11</v>
      </c>
      <c r="X76" s="422">
        <v>5</v>
      </c>
      <c r="Y76" s="422">
        <v>5</v>
      </c>
      <c r="Z76" s="422"/>
      <c r="AA76" s="422"/>
      <c r="AB76" s="422">
        <v>3</v>
      </c>
      <c r="AC76" s="422">
        <v>7</v>
      </c>
      <c r="AD76" s="422">
        <v>5</v>
      </c>
      <c r="AE76" s="422">
        <v>3</v>
      </c>
      <c r="AF76" s="422">
        <v>4</v>
      </c>
      <c r="AG76" s="422">
        <v>2</v>
      </c>
      <c r="AH76" s="43"/>
    </row>
    <row r="77" spans="1:34" x14ac:dyDescent="0.35">
      <c r="A77" s="415" t="s">
        <v>27</v>
      </c>
      <c r="B77" s="416" t="s">
        <v>37</v>
      </c>
      <c r="C77" s="417" t="s">
        <v>12</v>
      </c>
      <c r="D77" s="418">
        <v>10</v>
      </c>
      <c r="E77" s="419">
        <v>11</v>
      </c>
      <c r="F77" s="419">
        <v>3</v>
      </c>
      <c r="G77" s="419"/>
      <c r="H77" s="419">
        <v>9</v>
      </c>
      <c r="I77" s="419">
        <v>5</v>
      </c>
      <c r="J77" s="419"/>
      <c r="K77" s="419">
        <v>2</v>
      </c>
      <c r="L77" s="419">
        <v>3</v>
      </c>
      <c r="M77" s="419">
        <v>9</v>
      </c>
      <c r="N77" s="419">
        <v>1</v>
      </c>
      <c r="O77" s="419">
        <v>5</v>
      </c>
      <c r="P77" s="419">
        <v>5</v>
      </c>
      <c r="Q77" s="419"/>
      <c r="R77" s="419">
        <v>12</v>
      </c>
      <c r="S77" s="419">
        <v>2</v>
      </c>
      <c r="T77" s="419">
        <v>19</v>
      </c>
      <c r="U77" s="419">
        <v>8</v>
      </c>
      <c r="V77" s="420">
        <v>9</v>
      </c>
      <c r="W77" s="421">
        <v>9</v>
      </c>
      <c r="X77" s="422">
        <v>5</v>
      </c>
      <c r="Y77" s="422">
        <v>6</v>
      </c>
      <c r="Z77" s="422">
        <v>9</v>
      </c>
      <c r="AA77" s="422">
        <v>7</v>
      </c>
      <c r="AB77" s="422">
        <v>5</v>
      </c>
      <c r="AC77" s="422">
        <v>4</v>
      </c>
      <c r="AD77" s="422">
        <v>2</v>
      </c>
      <c r="AE77" s="422">
        <v>2</v>
      </c>
      <c r="AF77" s="422">
        <v>9</v>
      </c>
      <c r="AG77" s="422"/>
      <c r="AH77" s="43"/>
    </row>
    <row r="78" spans="1:34" x14ac:dyDescent="0.35">
      <c r="A78" s="415" t="s">
        <v>27</v>
      </c>
      <c r="B78" s="416" t="s">
        <v>38</v>
      </c>
      <c r="C78" s="417" t="s">
        <v>12</v>
      </c>
      <c r="D78" s="418">
        <v>11</v>
      </c>
      <c r="E78" s="419">
        <v>11</v>
      </c>
      <c r="F78" s="419"/>
      <c r="G78" s="419">
        <v>5</v>
      </c>
      <c r="H78" s="419">
        <v>3</v>
      </c>
      <c r="I78" s="419">
        <v>9</v>
      </c>
      <c r="J78" s="419"/>
      <c r="K78" s="419"/>
      <c r="L78" s="419">
        <v>3</v>
      </c>
      <c r="M78" s="419">
        <v>5</v>
      </c>
      <c r="N78" s="419"/>
      <c r="O78" s="419">
        <v>18</v>
      </c>
      <c r="P78" s="419"/>
      <c r="Q78" s="419">
        <v>5</v>
      </c>
      <c r="R78" s="419">
        <v>4</v>
      </c>
      <c r="S78" s="419">
        <v>8</v>
      </c>
      <c r="T78" s="419">
        <v>13</v>
      </c>
      <c r="U78" s="419">
        <v>3</v>
      </c>
      <c r="V78" s="420">
        <v>10</v>
      </c>
      <c r="W78" s="421"/>
      <c r="X78" s="422">
        <v>5</v>
      </c>
      <c r="Y78" s="422"/>
      <c r="Z78" s="422">
        <v>5</v>
      </c>
      <c r="AA78" s="422"/>
      <c r="AB78" s="422">
        <v>3</v>
      </c>
      <c r="AC78" s="422"/>
      <c r="AD78" s="422">
        <v>5</v>
      </c>
      <c r="AE78" s="422">
        <v>6</v>
      </c>
      <c r="AF78" s="422">
        <v>21</v>
      </c>
      <c r="AG78" s="422"/>
      <c r="AH78" s="43"/>
    </row>
    <row r="79" spans="1:34" x14ac:dyDescent="0.35">
      <c r="A79" s="423" t="s">
        <v>39</v>
      </c>
      <c r="B79" s="424" t="s">
        <v>151</v>
      </c>
      <c r="C79" s="425" t="s">
        <v>5</v>
      </c>
      <c r="D79" s="426">
        <v>4320</v>
      </c>
      <c r="E79" s="427">
        <v>3480</v>
      </c>
      <c r="F79" s="427">
        <v>3480</v>
      </c>
      <c r="G79" s="427">
        <v>3480</v>
      </c>
      <c r="H79" s="427">
        <v>3480</v>
      </c>
      <c r="I79" s="427">
        <v>1260</v>
      </c>
      <c r="J79" s="427">
        <v>1260</v>
      </c>
      <c r="K79" s="427">
        <v>1260</v>
      </c>
      <c r="L79" s="427">
        <v>1260</v>
      </c>
      <c r="M79" s="427">
        <v>1260</v>
      </c>
      <c r="N79" s="427">
        <v>1260</v>
      </c>
      <c r="O79" s="427">
        <v>1260</v>
      </c>
      <c r="P79" s="427">
        <v>1260</v>
      </c>
      <c r="Q79" s="427">
        <v>1260</v>
      </c>
      <c r="R79" s="427">
        <v>1260</v>
      </c>
      <c r="S79" s="427">
        <v>1260</v>
      </c>
      <c r="T79" s="427">
        <v>1260</v>
      </c>
      <c r="U79" s="427">
        <v>1260</v>
      </c>
      <c r="V79" s="428">
        <v>1260</v>
      </c>
      <c r="W79" s="429">
        <v>1260</v>
      </c>
      <c r="X79" s="430">
        <v>1260</v>
      </c>
      <c r="Y79" s="431">
        <v>1260</v>
      </c>
      <c r="Z79" s="431">
        <v>1260</v>
      </c>
      <c r="AA79" s="431">
        <v>1260</v>
      </c>
      <c r="AB79" s="431">
        <v>1260</v>
      </c>
      <c r="AC79" s="431">
        <v>1260</v>
      </c>
      <c r="AD79" s="431">
        <v>1260</v>
      </c>
      <c r="AE79" s="431">
        <v>1260</v>
      </c>
      <c r="AF79" s="431">
        <v>1260</v>
      </c>
      <c r="AG79" s="431">
        <v>1260</v>
      </c>
      <c r="AH79" s="44"/>
    </row>
    <row r="80" spans="1:34" x14ac:dyDescent="0.35">
      <c r="A80" s="423" t="s">
        <v>39</v>
      </c>
      <c r="B80" s="424" t="s">
        <v>152</v>
      </c>
      <c r="C80" s="425" t="s">
        <v>5</v>
      </c>
      <c r="D80" s="426">
        <v>19020</v>
      </c>
      <c r="E80" s="427">
        <v>19020</v>
      </c>
      <c r="F80" s="427">
        <v>16380</v>
      </c>
      <c r="G80" s="427">
        <v>16380</v>
      </c>
      <c r="H80" s="427">
        <v>16380</v>
      </c>
      <c r="I80" s="427">
        <v>34020</v>
      </c>
      <c r="J80" s="427">
        <v>34020</v>
      </c>
      <c r="K80" s="427">
        <v>34020</v>
      </c>
      <c r="L80" s="427">
        <v>34020</v>
      </c>
      <c r="M80" s="427">
        <v>34020</v>
      </c>
      <c r="N80" s="427">
        <v>34020</v>
      </c>
      <c r="O80" s="427">
        <v>34020</v>
      </c>
      <c r="P80" s="427">
        <v>34020</v>
      </c>
      <c r="Q80" s="427">
        <v>34020</v>
      </c>
      <c r="R80" s="427">
        <v>34020</v>
      </c>
      <c r="S80" s="427">
        <v>34020</v>
      </c>
      <c r="T80" s="427">
        <v>34020</v>
      </c>
      <c r="U80" s="427">
        <v>34020</v>
      </c>
      <c r="V80" s="428">
        <v>34020</v>
      </c>
      <c r="W80" s="429">
        <v>34020</v>
      </c>
      <c r="X80" s="430">
        <v>34020</v>
      </c>
      <c r="Y80" s="431">
        <v>34020</v>
      </c>
      <c r="Z80" s="431">
        <v>34020</v>
      </c>
      <c r="AA80" s="431">
        <v>34020</v>
      </c>
      <c r="AB80" s="431">
        <v>34020</v>
      </c>
      <c r="AC80" s="431">
        <v>34020</v>
      </c>
      <c r="AD80" s="431">
        <v>34020</v>
      </c>
      <c r="AE80" s="431">
        <v>34020</v>
      </c>
      <c r="AF80" s="431">
        <v>34020</v>
      </c>
      <c r="AG80" s="431">
        <v>34020</v>
      </c>
      <c r="AH80" s="44"/>
    </row>
    <row r="81" spans="1:34" x14ac:dyDescent="0.35">
      <c r="A81" s="423" t="s">
        <v>39</v>
      </c>
      <c r="B81" s="424" t="s">
        <v>42</v>
      </c>
      <c r="C81" s="425" t="s">
        <v>10</v>
      </c>
      <c r="D81" s="426">
        <v>34</v>
      </c>
      <c r="E81" s="427">
        <v>5</v>
      </c>
      <c r="F81" s="427">
        <v>5</v>
      </c>
      <c r="G81" s="427">
        <v>5</v>
      </c>
      <c r="H81" s="427">
        <v>5</v>
      </c>
      <c r="I81" s="427">
        <v>5</v>
      </c>
      <c r="J81" s="427">
        <v>5</v>
      </c>
      <c r="K81" s="427">
        <v>5</v>
      </c>
      <c r="L81" s="427">
        <v>5</v>
      </c>
      <c r="M81" s="427">
        <v>5</v>
      </c>
      <c r="N81" s="427">
        <v>5</v>
      </c>
      <c r="O81" s="427">
        <v>5</v>
      </c>
      <c r="P81" s="427">
        <v>5</v>
      </c>
      <c r="Q81" s="427">
        <v>5</v>
      </c>
      <c r="R81" s="427">
        <v>5</v>
      </c>
      <c r="S81" s="427">
        <v>5</v>
      </c>
      <c r="T81" s="427">
        <v>5</v>
      </c>
      <c r="U81" s="427">
        <v>5</v>
      </c>
      <c r="V81" s="428">
        <v>5</v>
      </c>
      <c r="W81" s="429">
        <v>5</v>
      </c>
      <c r="X81" s="430">
        <v>5</v>
      </c>
      <c r="Y81" s="431">
        <v>5</v>
      </c>
      <c r="Z81" s="431">
        <v>5</v>
      </c>
      <c r="AA81" s="431">
        <v>5</v>
      </c>
      <c r="AB81" s="431">
        <v>5</v>
      </c>
      <c r="AC81" s="431">
        <v>5</v>
      </c>
      <c r="AD81" s="431">
        <v>5</v>
      </c>
      <c r="AE81" s="431">
        <v>5</v>
      </c>
      <c r="AF81" s="431">
        <v>5</v>
      </c>
      <c r="AG81" s="431">
        <v>5</v>
      </c>
      <c r="AH81" s="44"/>
    </row>
    <row r="82" spans="1:34" x14ac:dyDescent="0.35">
      <c r="A82" s="423" t="s">
        <v>39</v>
      </c>
      <c r="B82" s="424" t="s">
        <v>43</v>
      </c>
      <c r="C82" s="425" t="s">
        <v>10</v>
      </c>
      <c r="D82" s="426">
        <v>31</v>
      </c>
      <c r="E82" s="427">
        <v>28</v>
      </c>
      <c r="F82" s="427">
        <v>28</v>
      </c>
      <c r="G82" s="427">
        <v>28</v>
      </c>
      <c r="H82" s="427">
        <v>28</v>
      </c>
      <c r="I82" s="427">
        <v>28</v>
      </c>
      <c r="J82" s="427">
        <v>28</v>
      </c>
      <c r="K82" s="427">
        <v>28</v>
      </c>
      <c r="L82" s="427">
        <v>28</v>
      </c>
      <c r="M82" s="427">
        <v>28</v>
      </c>
      <c r="N82" s="427">
        <v>28</v>
      </c>
      <c r="O82" s="427">
        <v>28</v>
      </c>
      <c r="P82" s="427">
        <v>28</v>
      </c>
      <c r="Q82" s="427">
        <v>28</v>
      </c>
      <c r="R82" s="427">
        <v>28</v>
      </c>
      <c r="S82" s="427">
        <v>28</v>
      </c>
      <c r="T82" s="427">
        <v>28</v>
      </c>
      <c r="U82" s="427">
        <v>28</v>
      </c>
      <c r="V82" s="428">
        <v>28</v>
      </c>
      <c r="W82" s="429">
        <v>28</v>
      </c>
      <c r="X82" s="430">
        <v>28</v>
      </c>
      <c r="Y82" s="431">
        <v>28</v>
      </c>
      <c r="Z82" s="431">
        <v>28</v>
      </c>
      <c r="AA82" s="431">
        <v>28</v>
      </c>
      <c r="AB82" s="431">
        <v>28</v>
      </c>
      <c r="AC82" s="431">
        <v>28</v>
      </c>
      <c r="AD82" s="431">
        <v>28</v>
      </c>
      <c r="AE82" s="431">
        <v>28</v>
      </c>
      <c r="AF82" s="431">
        <v>28</v>
      </c>
      <c r="AG82" s="431">
        <v>28</v>
      </c>
      <c r="AH82" s="44"/>
    </row>
    <row r="83" spans="1:34" x14ac:dyDescent="0.35">
      <c r="A83" s="423" t="s">
        <v>39</v>
      </c>
      <c r="B83" s="424" t="s">
        <v>44</v>
      </c>
      <c r="C83" s="425" t="s">
        <v>10</v>
      </c>
      <c r="D83" s="426">
        <v>57</v>
      </c>
      <c r="E83" s="427">
        <v>94</v>
      </c>
      <c r="F83" s="427">
        <v>94</v>
      </c>
      <c r="G83" s="427">
        <v>94</v>
      </c>
      <c r="H83" s="427">
        <v>94</v>
      </c>
      <c r="I83" s="427">
        <v>94</v>
      </c>
      <c r="J83" s="427">
        <v>94</v>
      </c>
      <c r="K83" s="427">
        <v>94</v>
      </c>
      <c r="L83" s="427">
        <v>94</v>
      </c>
      <c r="M83" s="427">
        <v>94</v>
      </c>
      <c r="N83" s="427">
        <v>94</v>
      </c>
      <c r="O83" s="427">
        <v>94</v>
      </c>
      <c r="P83" s="427">
        <v>94</v>
      </c>
      <c r="Q83" s="427">
        <v>94</v>
      </c>
      <c r="R83" s="427">
        <v>94</v>
      </c>
      <c r="S83" s="427">
        <v>94</v>
      </c>
      <c r="T83" s="427">
        <v>94</v>
      </c>
      <c r="U83" s="427">
        <v>94</v>
      </c>
      <c r="V83" s="428">
        <v>94</v>
      </c>
      <c r="W83" s="429">
        <v>94</v>
      </c>
      <c r="X83" s="430">
        <v>94</v>
      </c>
      <c r="Y83" s="431">
        <v>94</v>
      </c>
      <c r="Z83" s="431">
        <v>94</v>
      </c>
      <c r="AA83" s="431">
        <v>94</v>
      </c>
      <c r="AB83" s="431">
        <v>94</v>
      </c>
      <c r="AC83" s="431">
        <v>94</v>
      </c>
      <c r="AD83" s="431">
        <v>94</v>
      </c>
      <c r="AE83" s="431">
        <v>94</v>
      </c>
      <c r="AF83" s="431">
        <v>94</v>
      </c>
      <c r="AG83" s="431">
        <v>94</v>
      </c>
      <c r="AH83" s="44"/>
    </row>
    <row r="84" spans="1:34" x14ac:dyDescent="0.35">
      <c r="A84" s="423" t="s">
        <v>39</v>
      </c>
      <c r="B84" s="424" t="s">
        <v>41</v>
      </c>
      <c r="C84" s="425" t="s">
        <v>10</v>
      </c>
      <c r="D84" s="426">
        <v>0</v>
      </c>
      <c r="E84" s="427">
        <v>10</v>
      </c>
      <c r="F84" s="427">
        <v>12</v>
      </c>
      <c r="G84" s="427">
        <v>14</v>
      </c>
      <c r="H84" s="427">
        <v>17</v>
      </c>
      <c r="I84" s="427">
        <v>20</v>
      </c>
      <c r="J84" s="427">
        <v>23</v>
      </c>
      <c r="K84" s="427">
        <v>26</v>
      </c>
      <c r="L84" s="427">
        <v>29</v>
      </c>
      <c r="M84" s="427">
        <v>31</v>
      </c>
      <c r="N84" s="427">
        <v>34</v>
      </c>
      <c r="O84" s="427">
        <v>36</v>
      </c>
      <c r="P84" s="427">
        <v>39</v>
      </c>
      <c r="Q84" s="427">
        <v>41</v>
      </c>
      <c r="R84" s="427">
        <v>43</v>
      </c>
      <c r="S84" s="427">
        <v>44</v>
      </c>
      <c r="T84" s="427">
        <v>46</v>
      </c>
      <c r="U84" s="427">
        <v>47</v>
      </c>
      <c r="V84" s="428">
        <v>49</v>
      </c>
      <c r="W84" s="429">
        <v>50</v>
      </c>
      <c r="X84" s="430">
        <v>51</v>
      </c>
      <c r="Y84" s="431">
        <v>51</v>
      </c>
      <c r="Z84" s="431">
        <v>52</v>
      </c>
      <c r="AA84" s="431">
        <v>53</v>
      </c>
      <c r="AB84" s="431">
        <v>53</v>
      </c>
      <c r="AC84" s="431">
        <v>54</v>
      </c>
      <c r="AD84" s="431">
        <v>54</v>
      </c>
      <c r="AE84" s="431">
        <v>55</v>
      </c>
      <c r="AF84" s="431">
        <v>55</v>
      </c>
      <c r="AG84" s="431">
        <v>55</v>
      </c>
      <c r="AH84" s="44"/>
    </row>
    <row r="85" spans="1:34" x14ac:dyDescent="0.35">
      <c r="A85" s="423" t="s">
        <v>39</v>
      </c>
      <c r="B85" s="424" t="s">
        <v>153</v>
      </c>
      <c r="C85" s="425" t="s">
        <v>5</v>
      </c>
      <c r="D85" s="426">
        <v>6307</v>
      </c>
      <c r="E85" s="427">
        <v>9622</v>
      </c>
      <c r="F85" s="427">
        <v>7497</v>
      </c>
      <c r="G85" s="427">
        <v>7497</v>
      </c>
      <c r="H85" s="427">
        <v>7497</v>
      </c>
      <c r="I85" s="427">
        <v>9503</v>
      </c>
      <c r="J85" s="427">
        <v>9503</v>
      </c>
      <c r="K85" s="427">
        <v>9503</v>
      </c>
      <c r="L85" s="427">
        <v>9503</v>
      </c>
      <c r="M85" s="427">
        <v>9503</v>
      </c>
      <c r="N85" s="427">
        <v>9503</v>
      </c>
      <c r="O85" s="427">
        <v>9503</v>
      </c>
      <c r="P85" s="427">
        <v>9503</v>
      </c>
      <c r="Q85" s="427">
        <v>9503</v>
      </c>
      <c r="R85" s="427">
        <v>9503</v>
      </c>
      <c r="S85" s="427">
        <v>9503</v>
      </c>
      <c r="T85" s="427">
        <v>9503</v>
      </c>
      <c r="U85" s="427">
        <v>9503</v>
      </c>
      <c r="V85" s="428">
        <v>9503</v>
      </c>
      <c r="W85" s="429">
        <v>9503</v>
      </c>
      <c r="X85" s="430">
        <v>9503</v>
      </c>
      <c r="Y85" s="431">
        <v>9503</v>
      </c>
      <c r="Z85" s="431">
        <v>9503</v>
      </c>
      <c r="AA85" s="431">
        <v>9503</v>
      </c>
      <c r="AB85" s="431">
        <v>9503</v>
      </c>
      <c r="AC85" s="431">
        <v>9503</v>
      </c>
      <c r="AD85" s="431">
        <v>9503</v>
      </c>
      <c r="AE85" s="431">
        <v>9503</v>
      </c>
      <c r="AF85" s="431">
        <v>9503</v>
      </c>
      <c r="AG85" s="431">
        <v>9503</v>
      </c>
      <c r="AH85" s="44"/>
    </row>
    <row r="86" spans="1:34" x14ac:dyDescent="0.35">
      <c r="A86" s="423" t="s">
        <v>39</v>
      </c>
      <c r="B86" s="424" t="s">
        <v>154</v>
      </c>
      <c r="C86" s="425" t="s">
        <v>10</v>
      </c>
      <c r="D86" s="426">
        <v>476</v>
      </c>
      <c r="E86" s="427">
        <v>322</v>
      </c>
      <c r="F86" s="427">
        <v>259</v>
      </c>
      <c r="G86" s="427">
        <v>259</v>
      </c>
      <c r="H86" s="427">
        <v>259</v>
      </c>
      <c r="I86" s="427">
        <v>322</v>
      </c>
      <c r="J86" s="427">
        <v>322</v>
      </c>
      <c r="K86" s="427">
        <v>322</v>
      </c>
      <c r="L86" s="427">
        <v>322</v>
      </c>
      <c r="M86" s="427">
        <v>322</v>
      </c>
      <c r="N86" s="427">
        <v>322</v>
      </c>
      <c r="O86" s="427">
        <v>322</v>
      </c>
      <c r="P86" s="427">
        <v>322</v>
      </c>
      <c r="Q86" s="427">
        <v>322</v>
      </c>
      <c r="R86" s="427">
        <v>322</v>
      </c>
      <c r="S86" s="427">
        <v>322</v>
      </c>
      <c r="T86" s="427">
        <v>322</v>
      </c>
      <c r="U86" s="427">
        <v>322</v>
      </c>
      <c r="V86" s="428">
        <v>322</v>
      </c>
      <c r="W86" s="429">
        <v>322</v>
      </c>
      <c r="X86" s="430">
        <v>322</v>
      </c>
      <c r="Y86" s="431">
        <v>322</v>
      </c>
      <c r="Z86" s="431">
        <v>322</v>
      </c>
      <c r="AA86" s="431">
        <v>322</v>
      </c>
      <c r="AB86" s="431">
        <v>322</v>
      </c>
      <c r="AC86" s="431">
        <v>322</v>
      </c>
      <c r="AD86" s="431">
        <v>322</v>
      </c>
      <c r="AE86" s="431">
        <v>322</v>
      </c>
      <c r="AF86" s="431">
        <v>322</v>
      </c>
      <c r="AG86" s="431">
        <v>322</v>
      </c>
      <c r="AH86" s="44"/>
    </row>
    <row r="87" spans="1:34" x14ac:dyDescent="0.35">
      <c r="A87" s="423" t="s">
        <v>39</v>
      </c>
      <c r="B87" s="424" t="s">
        <v>45</v>
      </c>
      <c r="C87" s="425" t="s">
        <v>10</v>
      </c>
      <c r="D87" s="426">
        <v>181930</v>
      </c>
      <c r="E87" s="427">
        <v>94304</v>
      </c>
      <c r="F87" s="427">
        <v>94304</v>
      </c>
      <c r="G87" s="427">
        <v>94304</v>
      </c>
      <c r="H87" s="427">
        <v>90678</v>
      </c>
      <c r="I87" s="427">
        <v>101556</v>
      </c>
      <c r="J87" s="427">
        <v>101556</v>
      </c>
      <c r="K87" s="427">
        <v>101556</v>
      </c>
      <c r="L87" s="427">
        <v>101556</v>
      </c>
      <c r="M87" s="427">
        <v>101556</v>
      </c>
      <c r="N87" s="427">
        <v>101556</v>
      </c>
      <c r="O87" s="427">
        <v>101556</v>
      </c>
      <c r="P87" s="427">
        <v>101556</v>
      </c>
      <c r="Q87" s="427">
        <v>101556</v>
      </c>
      <c r="R87" s="427">
        <v>101556</v>
      </c>
      <c r="S87" s="427">
        <v>101556</v>
      </c>
      <c r="T87" s="427">
        <v>101556</v>
      </c>
      <c r="U87" s="427">
        <v>101556</v>
      </c>
      <c r="V87" s="428">
        <v>101556</v>
      </c>
      <c r="W87" s="429">
        <v>101556</v>
      </c>
      <c r="X87" s="430">
        <v>101556</v>
      </c>
      <c r="Y87" s="431">
        <v>101556</v>
      </c>
      <c r="Z87" s="431">
        <v>101556</v>
      </c>
      <c r="AA87" s="431">
        <v>101556</v>
      </c>
      <c r="AB87" s="431">
        <v>101556</v>
      </c>
      <c r="AC87" s="431">
        <v>101556</v>
      </c>
      <c r="AD87" s="431">
        <v>101556</v>
      </c>
      <c r="AE87" s="431">
        <v>101556</v>
      </c>
      <c r="AF87" s="431">
        <v>101556</v>
      </c>
      <c r="AG87" s="431">
        <v>101556</v>
      </c>
      <c r="AH87" s="44"/>
    </row>
    <row r="88" spans="1:34" x14ac:dyDescent="0.35">
      <c r="A88" s="423" t="s">
        <v>39</v>
      </c>
      <c r="B88" s="424" t="s">
        <v>155</v>
      </c>
      <c r="C88" s="425" t="s">
        <v>5</v>
      </c>
      <c r="D88" s="426">
        <v>1412300</v>
      </c>
      <c r="E88" s="427">
        <v>952400</v>
      </c>
      <c r="F88" s="427">
        <v>941000</v>
      </c>
      <c r="G88" s="427">
        <v>918100</v>
      </c>
      <c r="H88" s="427">
        <v>786200</v>
      </c>
      <c r="I88" s="427">
        <v>779400</v>
      </c>
      <c r="J88" s="427">
        <v>779400</v>
      </c>
      <c r="K88" s="427">
        <v>779400</v>
      </c>
      <c r="L88" s="427">
        <v>779400</v>
      </c>
      <c r="M88" s="427">
        <v>779400</v>
      </c>
      <c r="N88" s="427">
        <v>779400</v>
      </c>
      <c r="O88" s="427">
        <v>779400</v>
      </c>
      <c r="P88" s="427">
        <v>779400</v>
      </c>
      <c r="Q88" s="427">
        <v>779400</v>
      </c>
      <c r="R88" s="427">
        <v>779400</v>
      </c>
      <c r="S88" s="427">
        <v>779400</v>
      </c>
      <c r="T88" s="427">
        <v>779400</v>
      </c>
      <c r="U88" s="427">
        <v>779400</v>
      </c>
      <c r="V88" s="428">
        <v>779400</v>
      </c>
      <c r="W88" s="429">
        <v>779400</v>
      </c>
      <c r="X88" s="430">
        <v>779400</v>
      </c>
      <c r="Y88" s="431">
        <v>779400</v>
      </c>
      <c r="Z88" s="431">
        <v>779400</v>
      </c>
      <c r="AA88" s="431">
        <v>779400</v>
      </c>
      <c r="AB88" s="431">
        <v>779400</v>
      </c>
      <c r="AC88" s="431">
        <v>779400</v>
      </c>
      <c r="AD88" s="431">
        <v>779400</v>
      </c>
      <c r="AE88" s="431">
        <v>779400</v>
      </c>
      <c r="AF88" s="431">
        <v>779400</v>
      </c>
      <c r="AG88" s="431">
        <v>779400</v>
      </c>
      <c r="AH88" s="44"/>
    </row>
    <row r="89" spans="1:34" x14ac:dyDescent="0.35">
      <c r="A89" s="432" t="s">
        <v>46</v>
      </c>
      <c r="B89" s="433" t="s">
        <v>47</v>
      </c>
      <c r="C89" s="434" t="s">
        <v>48</v>
      </c>
      <c r="D89" s="435"/>
      <c r="E89" s="436">
        <v>1</v>
      </c>
      <c r="F89" s="436"/>
      <c r="G89" s="436"/>
      <c r="H89" s="436"/>
      <c r="I89" s="436"/>
      <c r="J89" s="436"/>
      <c r="K89" s="436"/>
      <c r="L89" s="436"/>
      <c r="M89" s="436"/>
      <c r="N89" s="436"/>
      <c r="O89" s="436"/>
      <c r="P89" s="436"/>
      <c r="Q89" s="436"/>
      <c r="R89" s="436"/>
      <c r="S89" s="436"/>
      <c r="T89" s="436">
        <v>1</v>
      </c>
      <c r="U89" s="436"/>
      <c r="V89" s="437"/>
      <c r="W89" s="438"/>
      <c r="X89" s="439"/>
      <c r="Y89" s="440"/>
      <c r="Z89" s="440"/>
      <c r="AA89" s="440"/>
      <c r="AB89" s="440"/>
      <c r="AC89" s="440"/>
      <c r="AD89" s="440"/>
      <c r="AE89" s="440"/>
      <c r="AF89" s="440"/>
      <c r="AG89" s="440"/>
      <c r="AH89" s="45"/>
    </row>
    <row r="90" spans="1:34" x14ac:dyDescent="0.35">
      <c r="A90" s="432" t="s">
        <v>46</v>
      </c>
      <c r="B90" s="433" t="s">
        <v>49</v>
      </c>
      <c r="C90" s="434" t="s">
        <v>48</v>
      </c>
      <c r="D90" s="435"/>
      <c r="E90" s="436"/>
      <c r="F90" s="436"/>
      <c r="G90" s="436"/>
      <c r="H90" s="436"/>
      <c r="I90" s="436"/>
      <c r="J90" s="436"/>
      <c r="K90" s="436"/>
      <c r="L90" s="436"/>
      <c r="M90" s="436"/>
      <c r="N90" s="436"/>
      <c r="O90" s="436"/>
      <c r="P90" s="436"/>
      <c r="Q90" s="436"/>
      <c r="R90" s="436"/>
      <c r="S90" s="436"/>
      <c r="T90" s="436"/>
      <c r="U90" s="436"/>
      <c r="V90" s="437"/>
      <c r="W90" s="438"/>
      <c r="X90" s="439"/>
      <c r="Y90" s="440"/>
      <c r="Z90" s="440"/>
      <c r="AA90" s="440"/>
      <c r="AB90" s="440"/>
      <c r="AC90" s="440"/>
      <c r="AD90" s="440"/>
      <c r="AE90" s="440"/>
      <c r="AF90" s="440"/>
      <c r="AG90" s="440"/>
      <c r="AH90" s="45"/>
    </row>
    <row r="91" spans="1:34" x14ac:dyDescent="0.35">
      <c r="A91" s="432" t="s">
        <v>46</v>
      </c>
      <c r="B91" s="433" t="s">
        <v>50</v>
      </c>
      <c r="C91" s="434" t="s">
        <v>48</v>
      </c>
      <c r="D91" s="435"/>
      <c r="E91" s="436"/>
      <c r="F91" s="436"/>
      <c r="G91" s="436"/>
      <c r="H91" s="436"/>
      <c r="I91" s="436"/>
      <c r="J91" s="436"/>
      <c r="K91" s="436"/>
      <c r="L91" s="436"/>
      <c r="M91" s="436"/>
      <c r="N91" s="436"/>
      <c r="O91" s="436"/>
      <c r="P91" s="436"/>
      <c r="Q91" s="436"/>
      <c r="R91" s="436"/>
      <c r="S91" s="436"/>
      <c r="T91" s="436"/>
      <c r="U91" s="436"/>
      <c r="V91" s="437"/>
      <c r="W91" s="438"/>
      <c r="X91" s="439"/>
      <c r="Y91" s="440"/>
      <c r="Z91" s="440"/>
      <c r="AA91" s="440"/>
      <c r="AB91" s="440"/>
      <c r="AC91" s="440"/>
      <c r="AD91" s="440"/>
      <c r="AE91" s="440"/>
      <c r="AF91" s="440"/>
      <c r="AG91" s="440"/>
      <c r="AH91" s="45"/>
    </row>
    <row r="92" spans="1:34" x14ac:dyDescent="0.35">
      <c r="A92" s="432" t="s">
        <v>46</v>
      </c>
      <c r="B92" s="433" t="s">
        <v>51</v>
      </c>
      <c r="C92" s="434" t="s">
        <v>48</v>
      </c>
      <c r="D92" s="435">
        <v>1</v>
      </c>
      <c r="E92" s="436"/>
      <c r="F92" s="436"/>
      <c r="G92" s="436">
        <v>1</v>
      </c>
      <c r="H92" s="436"/>
      <c r="I92" s="436"/>
      <c r="J92" s="436">
        <v>1</v>
      </c>
      <c r="K92" s="436"/>
      <c r="L92" s="436"/>
      <c r="M92" s="436"/>
      <c r="N92" s="436"/>
      <c r="O92" s="436"/>
      <c r="P92" s="436"/>
      <c r="Q92" s="436"/>
      <c r="R92" s="436"/>
      <c r="S92" s="436"/>
      <c r="T92" s="436">
        <v>1</v>
      </c>
      <c r="U92" s="436"/>
      <c r="V92" s="437"/>
      <c r="W92" s="438"/>
      <c r="X92" s="439"/>
      <c r="Y92" s="440"/>
      <c r="Z92" s="440"/>
      <c r="AA92" s="440"/>
      <c r="AB92" s="440"/>
      <c r="AC92" s="440"/>
      <c r="AD92" s="440"/>
      <c r="AE92" s="440"/>
      <c r="AF92" s="440"/>
      <c r="AG92" s="440"/>
      <c r="AH92" s="45"/>
    </row>
    <row r="93" spans="1:34" x14ac:dyDescent="0.35">
      <c r="A93" s="432" t="s">
        <v>46</v>
      </c>
      <c r="B93" s="433" t="s">
        <v>52</v>
      </c>
      <c r="C93" s="434" t="s">
        <v>48</v>
      </c>
      <c r="D93" s="435">
        <v>1</v>
      </c>
      <c r="E93" s="436"/>
      <c r="F93" s="436"/>
      <c r="G93" s="436">
        <v>1</v>
      </c>
      <c r="H93" s="436"/>
      <c r="I93" s="436"/>
      <c r="J93" s="436">
        <v>1</v>
      </c>
      <c r="K93" s="436"/>
      <c r="L93" s="436"/>
      <c r="M93" s="436"/>
      <c r="N93" s="436"/>
      <c r="O93" s="436"/>
      <c r="P93" s="436"/>
      <c r="Q93" s="436"/>
      <c r="R93" s="436"/>
      <c r="S93" s="436"/>
      <c r="T93" s="436">
        <v>1</v>
      </c>
      <c r="U93" s="436"/>
      <c r="V93" s="437"/>
      <c r="W93" s="438"/>
      <c r="X93" s="439"/>
      <c r="Y93" s="440"/>
      <c r="Z93" s="440"/>
      <c r="AA93" s="440"/>
      <c r="AB93" s="440"/>
      <c r="AC93" s="440"/>
      <c r="AD93" s="440"/>
      <c r="AE93" s="440"/>
      <c r="AF93" s="440"/>
      <c r="AG93" s="440"/>
      <c r="AH93" s="45"/>
    </row>
    <row r="94" spans="1:34" x14ac:dyDescent="0.35">
      <c r="A94" s="432" t="s">
        <v>46</v>
      </c>
      <c r="B94" s="433" t="s">
        <v>53</v>
      </c>
      <c r="C94" s="434" t="s">
        <v>48</v>
      </c>
      <c r="D94" s="435"/>
      <c r="E94" s="436"/>
      <c r="F94" s="436"/>
      <c r="G94" s="436"/>
      <c r="H94" s="436"/>
      <c r="I94" s="436"/>
      <c r="J94" s="436"/>
      <c r="K94" s="436"/>
      <c r="L94" s="436"/>
      <c r="M94" s="436"/>
      <c r="N94" s="436"/>
      <c r="O94" s="436"/>
      <c r="P94" s="436"/>
      <c r="Q94" s="436">
        <v>1</v>
      </c>
      <c r="R94" s="436"/>
      <c r="S94" s="436"/>
      <c r="T94" s="436"/>
      <c r="U94" s="436"/>
      <c r="V94" s="437"/>
      <c r="W94" s="438"/>
      <c r="X94" s="439"/>
      <c r="Y94" s="440"/>
      <c r="Z94" s="440"/>
      <c r="AA94" s="440"/>
      <c r="AB94" s="440"/>
      <c r="AC94" s="440"/>
      <c r="AD94" s="440"/>
      <c r="AE94" s="440">
        <v>1</v>
      </c>
      <c r="AF94" s="440"/>
      <c r="AG94" s="440"/>
      <c r="AH94" s="45"/>
    </row>
    <row r="95" spans="1:34" x14ac:dyDescent="0.35">
      <c r="A95" s="432" t="s">
        <v>46</v>
      </c>
      <c r="B95" s="433" t="s">
        <v>54</v>
      </c>
      <c r="C95" s="434" t="s">
        <v>48</v>
      </c>
      <c r="D95" s="435">
        <v>1</v>
      </c>
      <c r="E95" s="436"/>
      <c r="F95" s="436"/>
      <c r="G95" s="436">
        <v>1</v>
      </c>
      <c r="H95" s="436"/>
      <c r="I95" s="436"/>
      <c r="J95" s="436">
        <v>1</v>
      </c>
      <c r="K95" s="436"/>
      <c r="L95" s="436"/>
      <c r="M95" s="436"/>
      <c r="N95" s="436"/>
      <c r="O95" s="436"/>
      <c r="P95" s="436"/>
      <c r="Q95" s="436"/>
      <c r="R95" s="436"/>
      <c r="S95" s="436"/>
      <c r="T95" s="436"/>
      <c r="U95" s="436"/>
      <c r="V95" s="437"/>
      <c r="W95" s="438"/>
      <c r="X95" s="439"/>
      <c r="Y95" s="440">
        <v>1</v>
      </c>
      <c r="Z95" s="440"/>
      <c r="AA95" s="440"/>
      <c r="AB95" s="440"/>
      <c r="AC95" s="440"/>
      <c r="AD95" s="440"/>
      <c r="AE95" s="440"/>
      <c r="AF95" s="440"/>
      <c r="AG95" s="440"/>
      <c r="AH95" s="45"/>
    </row>
    <row r="96" spans="1:34" x14ac:dyDescent="0.35">
      <c r="A96" s="432" t="s">
        <v>46</v>
      </c>
      <c r="B96" s="433" t="s">
        <v>55</v>
      </c>
      <c r="C96" s="434" t="s">
        <v>48</v>
      </c>
      <c r="D96" s="435"/>
      <c r="E96" s="436">
        <v>1</v>
      </c>
      <c r="F96" s="436"/>
      <c r="G96" s="436"/>
      <c r="H96" s="436"/>
      <c r="I96" s="436">
        <v>1</v>
      </c>
      <c r="J96" s="436"/>
      <c r="K96" s="436"/>
      <c r="L96" s="436"/>
      <c r="M96" s="436"/>
      <c r="N96" s="436"/>
      <c r="O96" s="436"/>
      <c r="P96" s="436"/>
      <c r="Q96" s="436"/>
      <c r="R96" s="436"/>
      <c r="S96" s="436"/>
      <c r="T96" s="436"/>
      <c r="U96" s="436"/>
      <c r="V96" s="437"/>
      <c r="W96" s="438"/>
      <c r="X96" s="439"/>
      <c r="Y96" s="440"/>
      <c r="Z96" s="440"/>
      <c r="AA96" s="440"/>
      <c r="AB96" s="440"/>
      <c r="AC96" s="440"/>
      <c r="AD96" s="440"/>
      <c r="AE96" s="440"/>
      <c r="AF96" s="440"/>
      <c r="AG96" s="440"/>
      <c r="AH96" s="45"/>
    </row>
    <row r="97" spans="1:34" x14ac:dyDescent="0.35">
      <c r="A97" s="432" t="s">
        <v>46</v>
      </c>
      <c r="B97" s="433" t="s">
        <v>56</v>
      </c>
      <c r="C97" s="434" t="s">
        <v>48</v>
      </c>
      <c r="D97" s="435"/>
      <c r="E97" s="436"/>
      <c r="F97" s="436"/>
      <c r="G97" s="436"/>
      <c r="H97" s="436"/>
      <c r="I97" s="436"/>
      <c r="J97" s="436">
        <v>1</v>
      </c>
      <c r="K97" s="436"/>
      <c r="L97" s="436"/>
      <c r="M97" s="436"/>
      <c r="N97" s="436"/>
      <c r="O97" s="436"/>
      <c r="P97" s="436"/>
      <c r="Q97" s="436"/>
      <c r="R97" s="436"/>
      <c r="S97" s="436"/>
      <c r="T97" s="436"/>
      <c r="U97" s="436"/>
      <c r="V97" s="437"/>
      <c r="W97" s="438"/>
      <c r="X97" s="439"/>
      <c r="Y97" s="440"/>
      <c r="Z97" s="440"/>
      <c r="AA97" s="440"/>
      <c r="AB97" s="440"/>
      <c r="AC97" s="440"/>
      <c r="AD97" s="440"/>
      <c r="AE97" s="440"/>
      <c r="AF97" s="440"/>
      <c r="AG97" s="440"/>
      <c r="AH97" s="45"/>
    </row>
    <row r="98" spans="1:34" x14ac:dyDescent="0.35">
      <c r="A98" s="432" t="s">
        <v>46</v>
      </c>
      <c r="B98" s="433" t="s">
        <v>57</v>
      </c>
      <c r="C98" s="434" t="s">
        <v>48</v>
      </c>
      <c r="D98" s="435"/>
      <c r="E98" s="436">
        <v>1</v>
      </c>
      <c r="F98" s="436"/>
      <c r="G98" s="436"/>
      <c r="H98" s="436"/>
      <c r="I98" s="436"/>
      <c r="J98" s="436"/>
      <c r="K98" s="436"/>
      <c r="L98" s="436"/>
      <c r="M98" s="436"/>
      <c r="N98" s="436"/>
      <c r="O98" s="436"/>
      <c r="P98" s="436"/>
      <c r="Q98" s="436"/>
      <c r="R98" s="436"/>
      <c r="S98" s="436"/>
      <c r="T98" s="436"/>
      <c r="U98" s="436"/>
      <c r="V98" s="437"/>
      <c r="W98" s="438"/>
      <c r="X98" s="439"/>
      <c r="Y98" s="440"/>
      <c r="Z98" s="440"/>
      <c r="AA98" s="440"/>
      <c r="AB98" s="440"/>
      <c r="AC98" s="440"/>
      <c r="AD98" s="440"/>
      <c r="AE98" s="440"/>
      <c r="AF98" s="440"/>
      <c r="AG98" s="440"/>
      <c r="AH98" s="45"/>
    </row>
    <row r="99" spans="1:34" x14ac:dyDescent="0.35">
      <c r="A99" s="432" t="s">
        <v>46</v>
      </c>
      <c r="B99" s="433" t="s">
        <v>58</v>
      </c>
      <c r="C99" s="434" t="s">
        <v>48</v>
      </c>
      <c r="D99" s="435"/>
      <c r="E99" s="436"/>
      <c r="F99" s="436"/>
      <c r="G99" s="436"/>
      <c r="H99" s="436"/>
      <c r="I99" s="436"/>
      <c r="J99" s="436"/>
      <c r="K99" s="436"/>
      <c r="L99" s="436"/>
      <c r="M99" s="436"/>
      <c r="N99" s="436"/>
      <c r="O99" s="436"/>
      <c r="P99" s="436"/>
      <c r="Q99" s="436"/>
      <c r="R99" s="436">
        <v>1</v>
      </c>
      <c r="S99" s="436"/>
      <c r="T99" s="436"/>
      <c r="U99" s="436"/>
      <c r="V99" s="437"/>
      <c r="W99" s="438"/>
      <c r="X99" s="439"/>
      <c r="Y99" s="440"/>
      <c r="Z99" s="440"/>
      <c r="AA99" s="440"/>
      <c r="AB99" s="440"/>
      <c r="AC99" s="440"/>
      <c r="AD99" s="440"/>
      <c r="AE99" s="440"/>
      <c r="AF99" s="440"/>
      <c r="AG99" s="440"/>
      <c r="AH99" s="45"/>
    </row>
    <row r="100" spans="1:34" x14ac:dyDescent="0.35">
      <c r="A100" s="432" t="s">
        <v>46</v>
      </c>
      <c r="B100" s="433" t="s">
        <v>59</v>
      </c>
      <c r="C100" s="434" t="s">
        <v>48</v>
      </c>
      <c r="D100" s="435"/>
      <c r="E100" s="436"/>
      <c r="F100" s="436"/>
      <c r="G100" s="436"/>
      <c r="H100" s="436"/>
      <c r="I100" s="436"/>
      <c r="J100" s="436"/>
      <c r="K100" s="436"/>
      <c r="L100" s="436"/>
      <c r="M100" s="436"/>
      <c r="N100" s="436"/>
      <c r="O100" s="436"/>
      <c r="P100" s="436"/>
      <c r="Q100" s="436">
        <v>1</v>
      </c>
      <c r="R100" s="436"/>
      <c r="S100" s="436"/>
      <c r="T100" s="436"/>
      <c r="U100" s="436"/>
      <c r="V100" s="437"/>
      <c r="W100" s="438"/>
      <c r="X100" s="439"/>
      <c r="Y100" s="440"/>
      <c r="Z100" s="440"/>
      <c r="AA100" s="440"/>
      <c r="AB100" s="440"/>
      <c r="AC100" s="440"/>
      <c r="AD100" s="440"/>
      <c r="AE100" s="440">
        <v>1</v>
      </c>
      <c r="AF100" s="440"/>
      <c r="AG100" s="440"/>
      <c r="AH100" s="45"/>
    </row>
    <row r="101" spans="1:34" x14ac:dyDescent="0.35">
      <c r="A101" s="432" t="s">
        <v>46</v>
      </c>
      <c r="B101" s="433" t="s">
        <v>60</v>
      </c>
      <c r="C101" s="434" t="s">
        <v>48</v>
      </c>
      <c r="D101" s="435"/>
      <c r="E101" s="436"/>
      <c r="F101" s="436"/>
      <c r="G101" s="436"/>
      <c r="H101" s="436">
        <v>1</v>
      </c>
      <c r="I101" s="436"/>
      <c r="J101" s="436"/>
      <c r="K101" s="436"/>
      <c r="L101" s="436"/>
      <c r="M101" s="436"/>
      <c r="N101" s="436"/>
      <c r="O101" s="436"/>
      <c r="P101" s="436"/>
      <c r="Q101" s="436"/>
      <c r="R101" s="436">
        <v>1</v>
      </c>
      <c r="S101" s="436"/>
      <c r="T101" s="436"/>
      <c r="U101" s="436"/>
      <c r="V101" s="437"/>
      <c r="W101" s="438"/>
      <c r="X101" s="439"/>
      <c r="Y101" s="440"/>
      <c r="Z101" s="440"/>
      <c r="AA101" s="440"/>
      <c r="AB101" s="440"/>
      <c r="AC101" s="440"/>
      <c r="AD101" s="440"/>
      <c r="AE101" s="440"/>
      <c r="AF101" s="440"/>
      <c r="AG101" s="440"/>
      <c r="AH101" s="45"/>
    </row>
    <row r="102" spans="1:34" x14ac:dyDescent="0.35">
      <c r="A102" s="441" t="s">
        <v>29</v>
      </c>
      <c r="B102" s="442" t="s">
        <v>156</v>
      </c>
      <c r="C102" s="443" t="s">
        <v>61</v>
      </c>
      <c r="D102" s="444">
        <v>15.215659</v>
      </c>
      <c r="E102" s="445">
        <v>14.145695999999999</v>
      </c>
      <c r="F102" s="445">
        <v>7.0983770000000002</v>
      </c>
      <c r="G102" s="445">
        <v>9.4137400000000007</v>
      </c>
      <c r="H102" s="445">
        <v>4.7644229999999999</v>
      </c>
      <c r="I102" s="445">
        <v>4</v>
      </c>
      <c r="J102" s="445">
        <v>2</v>
      </c>
      <c r="K102" s="445">
        <v>3</v>
      </c>
      <c r="L102" s="445">
        <v>3</v>
      </c>
      <c r="M102" s="445">
        <v>3</v>
      </c>
      <c r="N102" s="445">
        <v>3</v>
      </c>
      <c r="O102" s="445">
        <v>3</v>
      </c>
      <c r="P102" s="445">
        <v>2.5</v>
      </c>
      <c r="Q102" s="445">
        <v>2</v>
      </c>
      <c r="R102" s="445">
        <v>2.5</v>
      </c>
      <c r="S102" s="445">
        <v>3</v>
      </c>
      <c r="T102" s="445">
        <v>3</v>
      </c>
      <c r="U102" s="445">
        <v>2.5750000000000002</v>
      </c>
      <c r="V102" s="446">
        <v>3</v>
      </c>
      <c r="W102" s="447">
        <v>3</v>
      </c>
      <c r="X102" s="448">
        <v>4</v>
      </c>
      <c r="Y102" s="449">
        <v>4</v>
      </c>
      <c r="Z102" s="449">
        <v>5</v>
      </c>
      <c r="AA102" s="449">
        <v>9</v>
      </c>
      <c r="AB102" s="449">
        <v>10</v>
      </c>
      <c r="AC102" s="449">
        <v>10</v>
      </c>
      <c r="AD102" s="449">
        <v>9</v>
      </c>
      <c r="AE102" s="449">
        <v>7</v>
      </c>
      <c r="AF102" s="449">
        <v>5.8</v>
      </c>
      <c r="AG102" s="449">
        <v>5</v>
      </c>
      <c r="AH102" s="46"/>
    </row>
    <row r="103" spans="1:34" x14ac:dyDescent="0.35">
      <c r="A103" s="441" t="s">
        <v>29</v>
      </c>
      <c r="B103" s="442" t="s">
        <v>157</v>
      </c>
      <c r="C103" s="443" t="s">
        <v>10</v>
      </c>
      <c r="D103" s="444">
        <v>35</v>
      </c>
      <c r="E103" s="445">
        <v>35</v>
      </c>
      <c r="F103" s="445">
        <v>35</v>
      </c>
      <c r="G103" s="445">
        <v>35</v>
      </c>
      <c r="H103" s="445">
        <v>30</v>
      </c>
      <c r="I103" s="445">
        <v>30</v>
      </c>
      <c r="J103" s="445">
        <v>30</v>
      </c>
      <c r="K103" s="445">
        <v>30</v>
      </c>
      <c r="L103" s="445">
        <v>30</v>
      </c>
      <c r="M103" s="445">
        <v>35</v>
      </c>
      <c r="N103" s="445">
        <v>30</v>
      </c>
      <c r="O103" s="445">
        <v>30</v>
      </c>
      <c r="P103" s="445">
        <v>30</v>
      </c>
      <c r="Q103" s="445">
        <v>30</v>
      </c>
      <c r="R103" s="445">
        <v>30</v>
      </c>
      <c r="S103" s="445">
        <v>30</v>
      </c>
      <c r="T103" s="445">
        <v>30</v>
      </c>
      <c r="U103" s="445">
        <v>30</v>
      </c>
      <c r="V103" s="446">
        <v>30</v>
      </c>
      <c r="W103" s="447">
        <v>30</v>
      </c>
      <c r="X103" s="448">
        <v>30</v>
      </c>
      <c r="Y103" s="449">
        <v>30</v>
      </c>
      <c r="Z103" s="449">
        <v>30</v>
      </c>
      <c r="AA103" s="449">
        <v>70</v>
      </c>
      <c r="AB103" s="449">
        <v>70</v>
      </c>
      <c r="AC103" s="449">
        <v>60</v>
      </c>
      <c r="AD103" s="449">
        <v>60</v>
      </c>
      <c r="AE103" s="449">
        <v>60</v>
      </c>
      <c r="AF103" s="449">
        <v>60</v>
      </c>
      <c r="AG103" s="449">
        <v>60</v>
      </c>
      <c r="AH103" s="46"/>
    </row>
    <row r="104" spans="1:34" x14ac:dyDescent="0.35">
      <c r="A104" s="441" t="s">
        <v>29</v>
      </c>
      <c r="B104" s="442" t="s">
        <v>158</v>
      </c>
      <c r="C104" s="443" t="s">
        <v>10</v>
      </c>
      <c r="D104" s="444">
        <v>17</v>
      </c>
      <c r="E104" s="445">
        <v>8</v>
      </c>
      <c r="F104" s="445">
        <v>8</v>
      </c>
      <c r="G104" s="445">
        <v>8</v>
      </c>
      <c r="H104" s="445">
        <v>10</v>
      </c>
      <c r="I104" s="445">
        <v>10</v>
      </c>
      <c r="J104" s="445">
        <v>10</v>
      </c>
      <c r="K104" s="445">
        <v>12</v>
      </c>
      <c r="L104" s="445">
        <v>12</v>
      </c>
      <c r="M104" s="445">
        <v>11</v>
      </c>
      <c r="N104" s="445">
        <v>8</v>
      </c>
      <c r="O104" s="445">
        <v>10</v>
      </c>
      <c r="P104" s="445">
        <v>8</v>
      </c>
      <c r="Q104" s="445">
        <v>10</v>
      </c>
      <c r="R104" s="445">
        <v>8</v>
      </c>
      <c r="S104" s="445">
        <v>8</v>
      </c>
      <c r="T104" s="445">
        <v>8</v>
      </c>
      <c r="U104" s="445">
        <v>6</v>
      </c>
      <c r="V104" s="446">
        <v>10</v>
      </c>
      <c r="W104" s="447">
        <v>8</v>
      </c>
      <c r="X104" s="448">
        <v>6</v>
      </c>
      <c r="Y104" s="449">
        <v>6</v>
      </c>
      <c r="Z104" s="449">
        <v>8</v>
      </c>
      <c r="AA104" s="449">
        <v>10</v>
      </c>
      <c r="AB104" s="449">
        <v>12</v>
      </c>
      <c r="AC104" s="449">
        <v>12</v>
      </c>
      <c r="AD104" s="449">
        <v>10</v>
      </c>
      <c r="AE104" s="449">
        <v>10</v>
      </c>
      <c r="AF104" s="449">
        <v>6</v>
      </c>
      <c r="AG104" s="449">
        <v>6</v>
      </c>
      <c r="AH104" s="46"/>
    </row>
    <row r="105" spans="1:34" x14ac:dyDescent="0.35">
      <c r="A105" s="450" t="s">
        <v>62</v>
      </c>
      <c r="B105" s="451" t="s">
        <v>118</v>
      </c>
      <c r="C105" s="452" t="s">
        <v>20</v>
      </c>
      <c r="D105" s="453"/>
      <c r="E105" s="454"/>
      <c r="F105" s="454"/>
      <c r="G105" s="454"/>
      <c r="H105" s="454"/>
      <c r="I105" s="454"/>
      <c r="J105" s="454"/>
      <c r="K105" s="454"/>
      <c r="L105" s="454"/>
      <c r="M105" s="454"/>
      <c r="N105" s="454"/>
      <c r="O105" s="454"/>
      <c r="P105" s="454"/>
      <c r="Q105" s="454"/>
      <c r="R105" s="454"/>
      <c r="S105" s="454"/>
      <c r="T105" s="454"/>
      <c r="U105" s="454"/>
      <c r="V105" s="455"/>
      <c r="W105" s="456"/>
      <c r="X105" s="457"/>
      <c r="Y105" s="458"/>
      <c r="Z105" s="458"/>
      <c r="AA105" s="458"/>
      <c r="AB105" s="458"/>
      <c r="AC105" s="458"/>
      <c r="AD105" s="458"/>
      <c r="AE105" s="458"/>
      <c r="AF105" s="458"/>
      <c r="AG105" s="458"/>
      <c r="AH105" s="47"/>
    </row>
    <row r="106" spans="1:34" x14ac:dyDescent="0.35">
      <c r="A106" s="450" t="s">
        <v>62</v>
      </c>
      <c r="B106" s="451" t="s">
        <v>64</v>
      </c>
      <c r="C106" s="452" t="s">
        <v>20</v>
      </c>
      <c r="D106" s="453">
        <v>43000</v>
      </c>
      <c r="E106" s="454"/>
      <c r="F106" s="454"/>
      <c r="G106" s="454"/>
      <c r="H106" s="454"/>
      <c r="I106" s="454"/>
      <c r="J106" s="454"/>
      <c r="K106" s="454"/>
      <c r="L106" s="454"/>
      <c r="M106" s="454"/>
      <c r="N106" s="454"/>
      <c r="O106" s="454"/>
      <c r="P106" s="454"/>
      <c r="Q106" s="454"/>
      <c r="R106" s="454"/>
      <c r="S106" s="454"/>
      <c r="T106" s="454"/>
      <c r="U106" s="454"/>
      <c r="V106" s="455"/>
      <c r="W106" s="456"/>
      <c r="X106" s="457"/>
      <c r="Y106" s="458"/>
      <c r="Z106" s="458"/>
      <c r="AA106" s="458"/>
      <c r="AB106" s="458"/>
      <c r="AC106" s="458"/>
      <c r="AD106" s="458"/>
      <c r="AE106" s="458"/>
      <c r="AF106" s="458"/>
      <c r="AG106" s="458"/>
      <c r="AH106" s="47"/>
    </row>
    <row r="107" spans="1:34" x14ac:dyDescent="0.35">
      <c r="A107" s="450" t="s">
        <v>62</v>
      </c>
      <c r="B107" s="451" t="s">
        <v>65</v>
      </c>
      <c r="C107" s="452" t="s">
        <v>20</v>
      </c>
      <c r="D107" s="453">
        <v>29000</v>
      </c>
      <c r="E107" s="454"/>
      <c r="F107" s="454"/>
      <c r="G107" s="454"/>
      <c r="H107" s="454"/>
      <c r="I107" s="454"/>
      <c r="J107" s="454"/>
      <c r="K107" s="454"/>
      <c r="L107" s="454"/>
      <c r="M107" s="454"/>
      <c r="N107" s="454"/>
      <c r="O107" s="454"/>
      <c r="P107" s="454"/>
      <c r="Q107" s="454"/>
      <c r="R107" s="454"/>
      <c r="S107" s="454"/>
      <c r="T107" s="454"/>
      <c r="U107" s="454"/>
      <c r="V107" s="455"/>
      <c r="W107" s="456"/>
      <c r="X107" s="457"/>
      <c r="Y107" s="458"/>
      <c r="Z107" s="458"/>
      <c r="AA107" s="458"/>
      <c r="AB107" s="458"/>
      <c r="AC107" s="458"/>
      <c r="AD107" s="458"/>
      <c r="AE107" s="458"/>
      <c r="AF107" s="458"/>
      <c r="AG107" s="458"/>
      <c r="AH107" s="47"/>
    </row>
    <row r="108" spans="1:34" x14ac:dyDescent="0.35">
      <c r="A108" s="450" t="s">
        <v>62</v>
      </c>
      <c r="B108" s="451" t="s">
        <v>66</v>
      </c>
      <c r="C108" s="452" t="s">
        <v>67</v>
      </c>
      <c r="D108" s="453"/>
      <c r="E108" s="454"/>
      <c r="F108" s="454"/>
      <c r="G108" s="454"/>
      <c r="H108" s="454"/>
      <c r="I108" s="454"/>
      <c r="J108" s="454"/>
      <c r="K108" s="454"/>
      <c r="L108" s="454"/>
      <c r="M108" s="454"/>
      <c r="N108" s="454"/>
      <c r="O108" s="454"/>
      <c r="P108" s="454"/>
      <c r="Q108" s="454"/>
      <c r="R108" s="454"/>
      <c r="S108" s="454"/>
      <c r="T108" s="454"/>
      <c r="U108" s="454"/>
      <c r="V108" s="455"/>
      <c r="W108" s="456"/>
      <c r="X108" s="457"/>
      <c r="Y108" s="458"/>
      <c r="Z108" s="458"/>
      <c r="AA108" s="458"/>
      <c r="AB108" s="458"/>
      <c r="AC108" s="458"/>
      <c r="AD108" s="458"/>
      <c r="AE108" s="458"/>
      <c r="AF108" s="458"/>
      <c r="AG108" s="458"/>
      <c r="AH108" s="47"/>
    </row>
    <row r="109" spans="1:34" x14ac:dyDescent="0.35">
      <c r="A109" s="450" t="s">
        <v>62</v>
      </c>
      <c r="B109" s="451" t="s">
        <v>68</v>
      </c>
      <c r="C109" s="452" t="s">
        <v>20</v>
      </c>
      <c r="D109" s="453"/>
      <c r="E109" s="454"/>
      <c r="F109" s="454"/>
      <c r="G109" s="454"/>
      <c r="H109" s="454"/>
      <c r="I109" s="454"/>
      <c r="J109" s="454"/>
      <c r="K109" s="454"/>
      <c r="L109" s="454"/>
      <c r="M109" s="454"/>
      <c r="N109" s="454"/>
      <c r="O109" s="454"/>
      <c r="P109" s="454"/>
      <c r="Q109" s="454"/>
      <c r="R109" s="454"/>
      <c r="S109" s="454"/>
      <c r="T109" s="454">
        <v>740</v>
      </c>
      <c r="U109" s="454">
        <v>740</v>
      </c>
      <c r="V109" s="455">
        <v>740</v>
      </c>
      <c r="W109" s="456"/>
      <c r="X109" s="457"/>
      <c r="Y109" s="458"/>
      <c r="Z109" s="458"/>
      <c r="AA109" s="458"/>
      <c r="AB109" s="458"/>
      <c r="AC109" s="458"/>
      <c r="AD109" s="458"/>
      <c r="AE109" s="458"/>
      <c r="AF109" s="458"/>
      <c r="AG109" s="458"/>
      <c r="AH109" s="47"/>
    </row>
    <row r="110" spans="1:34" x14ac:dyDescent="0.35">
      <c r="A110" s="450" t="s">
        <v>62</v>
      </c>
      <c r="B110" s="451" t="s">
        <v>69</v>
      </c>
      <c r="C110" s="452" t="s">
        <v>67</v>
      </c>
      <c r="D110" s="453">
        <v>305000</v>
      </c>
      <c r="E110" s="454">
        <v>305000</v>
      </c>
      <c r="F110" s="454">
        <v>305000</v>
      </c>
      <c r="G110" s="454">
        <v>305000</v>
      </c>
      <c r="H110" s="454">
        <v>305000</v>
      </c>
      <c r="I110" s="454">
        <v>305000</v>
      </c>
      <c r="J110" s="454">
        <v>305000</v>
      </c>
      <c r="K110" s="454">
        <v>305000</v>
      </c>
      <c r="L110" s="454">
        <v>305000</v>
      </c>
      <c r="M110" s="454">
        <v>305000</v>
      </c>
      <c r="N110" s="454">
        <v>305000</v>
      </c>
      <c r="O110" s="454">
        <v>305000</v>
      </c>
      <c r="P110" s="454">
        <v>305000</v>
      </c>
      <c r="Q110" s="454">
        <v>305000</v>
      </c>
      <c r="R110" s="454">
        <v>305000</v>
      </c>
      <c r="S110" s="454">
        <v>305000</v>
      </c>
      <c r="T110" s="454">
        <v>305000</v>
      </c>
      <c r="U110" s="454">
        <v>305000</v>
      </c>
      <c r="V110" s="455">
        <v>305000</v>
      </c>
      <c r="W110" s="456">
        <v>305000</v>
      </c>
      <c r="X110" s="457">
        <v>305000</v>
      </c>
      <c r="Y110" s="458">
        <v>305000</v>
      </c>
      <c r="Z110" s="458">
        <v>305000</v>
      </c>
      <c r="AA110" s="458">
        <v>305000</v>
      </c>
      <c r="AB110" s="458">
        <v>305000</v>
      </c>
      <c r="AC110" s="458">
        <v>305000</v>
      </c>
      <c r="AD110" s="458">
        <v>305000</v>
      </c>
      <c r="AE110" s="458">
        <v>305000</v>
      </c>
      <c r="AF110" s="458">
        <v>305000</v>
      </c>
      <c r="AG110" s="458">
        <v>305000</v>
      </c>
      <c r="AH110" s="47"/>
    </row>
    <row r="111" spans="1:34" x14ac:dyDescent="0.35">
      <c r="A111" s="450" t="s">
        <v>62</v>
      </c>
      <c r="B111" s="451" t="s">
        <v>70</v>
      </c>
      <c r="C111" s="452" t="s">
        <v>67</v>
      </c>
      <c r="D111" s="453">
        <v>156000</v>
      </c>
      <c r="E111" s="454">
        <v>156000</v>
      </c>
      <c r="F111" s="454">
        <v>156000</v>
      </c>
      <c r="G111" s="454">
        <v>156000</v>
      </c>
      <c r="H111" s="454">
        <v>156000</v>
      </c>
      <c r="I111" s="454">
        <v>156000</v>
      </c>
      <c r="J111" s="454">
        <v>156000</v>
      </c>
      <c r="K111" s="454">
        <v>156000</v>
      </c>
      <c r="L111" s="454">
        <v>156000</v>
      </c>
      <c r="M111" s="454">
        <v>156000</v>
      </c>
      <c r="N111" s="454">
        <v>156000</v>
      </c>
      <c r="O111" s="454">
        <v>156000</v>
      </c>
      <c r="P111" s="454">
        <v>156000</v>
      </c>
      <c r="Q111" s="454">
        <v>156000</v>
      </c>
      <c r="R111" s="454">
        <v>156000</v>
      </c>
      <c r="S111" s="454">
        <v>156000</v>
      </c>
      <c r="T111" s="454">
        <v>156000</v>
      </c>
      <c r="U111" s="454">
        <v>156000</v>
      </c>
      <c r="V111" s="455">
        <v>156000</v>
      </c>
      <c r="W111" s="456">
        <v>156000</v>
      </c>
      <c r="X111" s="457">
        <v>156000</v>
      </c>
      <c r="Y111" s="458">
        <v>156000</v>
      </c>
      <c r="Z111" s="458">
        <v>156000</v>
      </c>
      <c r="AA111" s="458">
        <v>156000</v>
      </c>
      <c r="AB111" s="458">
        <v>156000</v>
      </c>
      <c r="AC111" s="458">
        <v>156000</v>
      </c>
      <c r="AD111" s="458">
        <v>156000</v>
      </c>
      <c r="AE111" s="458">
        <v>156000</v>
      </c>
      <c r="AF111" s="458">
        <v>156000</v>
      </c>
      <c r="AG111" s="458">
        <v>156000</v>
      </c>
      <c r="AH111" s="47"/>
    </row>
    <row r="112" spans="1:34" x14ac:dyDescent="0.35">
      <c r="A112" s="450" t="s">
        <v>62</v>
      </c>
      <c r="B112" s="451" t="s">
        <v>71</v>
      </c>
      <c r="C112" s="452" t="s">
        <v>67</v>
      </c>
      <c r="D112" s="453">
        <v>90000</v>
      </c>
      <c r="E112" s="454">
        <v>90000</v>
      </c>
      <c r="F112" s="454">
        <v>90000</v>
      </c>
      <c r="G112" s="454">
        <v>90000</v>
      </c>
      <c r="H112" s="454">
        <v>90000</v>
      </c>
      <c r="I112" s="454">
        <v>90000</v>
      </c>
      <c r="J112" s="454">
        <v>90000</v>
      </c>
      <c r="K112" s="454">
        <v>90000</v>
      </c>
      <c r="L112" s="454">
        <v>90000</v>
      </c>
      <c r="M112" s="454">
        <v>90000</v>
      </c>
      <c r="N112" s="454">
        <v>90000</v>
      </c>
      <c r="O112" s="454">
        <v>90000</v>
      </c>
      <c r="P112" s="454">
        <v>90000</v>
      </c>
      <c r="Q112" s="454">
        <v>90000</v>
      </c>
      <c r="R112" s="454">
        <v>90000</v>
      </c>
      <c r="S112" s="454">
        <v>90000</v>
      </c>
      <c r="T112" s="454">
        <v>90000</v>
      </c>
      <c r="U112" s="454">
        <v>90000</v>
      </c>
      <c r="V112" s="455">
        <v>90000</v>
      </c>
      <c r="W112" s="456">
        <v>90000</v>
      </c>
      <c r="X112" s="457">
        <v>90000</v>
      </c>
      <c r="Y112" s="458">
        <v>90000</v>
      </c>
      <c r="Z112" s="458">
        <v>90000</v>
      </c>
      <c r="AA112" s="458">
        <v>90000</v>
      </c>
      <c r="AB112" s="458">
        <v>90000</v>
      </c>
      <c r="AC112" s="458">
        <v>90000</v>
      </c>
      <c r="AD112" s="458">
        <v>90000</v>
      </c>
      <c r="AE112" s="458">
        <v>90000</v>
      </c>
      <c r="AF112" s="458">
        <v>90000</v>
      </c>
      <c r="AG112" s="458">
        <v>90000</v>
      </c>
      <c r="AH112" s="47"/>
    </row>
    <row r="113" spans="1:39" x14ac:dyDescent="0.35">
      <c r="A113" s="450" t="s">
        <v>62</v>
      </c>
      <c r="B113" s="451" t="s">
        <v>72</v>
      </c>
      <c r="C113" s="452" t="s">
        <v>67</v>
      </c>
      <c r="D113" s="453">
        <v>220000</v>
      </c>
      <c r="E113" s="454">
        <v>220000</v>
      </c>
      <c r="F113" s="454">
        <v>220000</v>
      </c>
      <c r="G113" s="454">
        <v>220000</v>
      </c>
      <c r="H113" s="454">
        <v>220000</v>
      </c>
      <c r="I113" s="454">
        <v>220000</v>
      </c>
      <c r="J113" s="454">
        <v>220000</v>
      </c>
      <c r="K113" s="454">
        <v>220000</v>
      </c>
      <c r="L113" s="454">
        <v>220000</v>
      </c>
      <c r="M113" s="454">
        <v>220000</v>
      </c>
      <c r="N113" s="454">
        <v>220000</v>
      </c>
      <c r="O113" s="454">
        <v>220000</v>
      </c>
      <c r="P113" s="454">
        <v>220000</v>
      </c>
      <c r="Q113" s="454">
        <v>220000</v>
      </c>
      <c r="R113" s="454">
        <v>220000</v>
      </c>
      <c r="S113" s="454">
        <v>220000</v>
      </c>
      <c r="T113" s="454">
        <v>220000</v>
      </c>
      <c r="U113" s="454">
        <v>220000</v>
      </c>
      <c r="V113" s="455">
        <v>220000</v>
      </c>
      <c r="W113" s="456">
        <v>220000</v>
      </c>
      <c r="X113" s="457">
        <v>220000</v>
      </c>
      <c r="Y113" s="458">
        <v>220000</v>
      </c>
      <c r="Z113" s="458">
        <v>220000</v>
      </c>
      <c r="AA113" s="458">
        <v>220000</v>
      </c>
      <c r="AB113" s="458">
        <v>220000</v>
      </c>
      <c r="AC113" s="458">
        <v>220000</v>
      </c>
      <c r="AD113" s="458">
        <v>220000</v>
      </c>
      <c r="AE113" s="458">
        <v>220000</v>
      </c>
      <c r="AF113" s="458">
        <v>220000</v>
      </c>
      <c r="AG113" s="458">
        <v>220000</v>
      </c>
      <c r="AH113" s="47"/>
    </row>
    <row r="114" spans="1:39" x14ac:dyDescent="0.35">
      <c r="A114" s="450" t="s">
        <v>62</v>
      </c>
      <c r="B114" s="451" t="s">
        <v>73</v>
      </c>
      <c r="C114" s="452" t="s">
        <v>67</v>
      </c>
      <c r="D114" s="453">
        <v>150000</v>
      </c>
      <c r="E114" s="454">
        <v>150000</v>
      </c>
      <c r="F114" s="454">
        <v>150000</v>
      </c>
      <c r="G114" s="454">
        <v>150000</v>
      </c>
      <c r="H114" s="454">
        <v>150000</v>
      </c>
      <c r="I114" s="454">
        <v>150000</v>
      </c>
      <c r="J114" s="454">
        <v>150000</v>
      </c>
      <c r="K114" s="454">
        <v>150000</v>
      </c>
      <c r="L114" s="454">
        <v>150000</v>
      </c>
      <c r="M114" s="454">
        <v>150000</v>
      </c>
      <c r="N114" s="454">
        <v>150000</v>
      </c>
      <c r="O114" s="454">
        <v>150000</v>
      </c>
      <c r="P114" s="454">
        <v>150000</v>
      </c>
      <c r="Q114" s="454">
        <v>150000</v>
      </c>
      <c r="R114" s="454">
        <v>150000</v>
      </c>
      <c r="S114" s="454">
        <v>150000</v>
      </c>
      <c r="T114" s="454">
        <v>150000</v>
      </c>
      <c r="U114" s="454">
        <v>150000</v>
      </c>
      <c r="V114" s="455">
        <v>150000</v>
      </c>
      <c r="W114" s="456">
        <v>150000</v>
      </c>
      <c r="X114" s="457">
        <v>150000</v>
      </c>
      <c r="Y114" s="458">
        <v>150000</v>
      </c>
      <c r="Z114" s="458">
        <v>150000</v>
      </c>
      <c r="AA114" s="458">
        <v>150000</v>
      </c>
      <c r="AB114" s="458">
        <v>150000</v>
      </c>
      <c r="AC114" s="458">
        <v>150000</v>
      </c>
      <c r="AD114" s="458">
        <v>150000</v>
      </c>
      <c r="AE114" s="458">
        <v>150000</v>
      </c>
      <c r="AF114" s="458">
        <v>150000</v>
      </c>
      <c r="AG114" s="458">
        <v>150000</v>
      </c>
      <c r="AH114" s="47"/>
    </row>
    <row r="115" spans="1:39" x14ac:dyDescent="0.35">
      <c r="A115" s="450" t="s">
        <v>62</v>
      </c>
      <c r="B115" s="451" t="s">
        <v>74</v>
      </c>
      <c r="C115" s="452" t="s">
        <v>67</v>
      </c>
      <c r="D115" s="453"/>
      <c r="E115" s="454"/>
      <c r="F115" s="454"/>
      <c r="G115" s="454"/>
      <c r="H115" s="454"/>
      <c r="I115" s="454"/>
      <c r="J115" s="454"/>
      <c r="K115" s="454">
        <v>27000</v>
      </c>
      <c r="L115" s="454">
        <v>27000</v>
      </c>
      <c r="M115" s="454"/>
      <c r="N115" s="454"/>
      <c r="O115" s="454"/>
      <c r="P115" s="454"/>
      <c r="Q115" s="454"/>
      <c r="R115" s="454"/>
      <c r="S115" s="454"/>
      <c r="T115" s="454"/>
      <c r="U115" s="454">
        <v>27000</v>
      </c>
      <c r="V115" s="455">
        <v>27000</v>
      </c>
      <c r="W115" s="456"/>
      <c r="X115" s="457"/>
      <c r="Y115" s="458"/>
      <c r="Z115" s="458"/>
      <c r="AA115" s="458"/>
      <c r="AB115" s="458"/>
      <c r="AC115" s="458"/>
      <c r="AD115" s="458"/>
      <c r="AE115" s="458">
        <v>27000</v>
      </c>
      <c r="AF115" s="458">
        <v>27000</v>
      </c>
      <c r="AG115" s="458">
        <v>27000</v>
      </c>
      <c r="AH115" s="47"/>
    </row>
    <row r="116" spans="1:39" x14ac:dyDescent="0.35">
      <c r="A116" s="450" t="s">
        <v>62</v>
      </c>
      <c r="B116" s="451" t="s">
        <v>75</v>
      </c>
      <c r="C116" s="452" t="s">
        <v>67</v>
      </c>
      <c r="D116" s="453"/>
      <c r="E116" s="454"/>
      <c r="F116" s="454"/>
      <c r="G116" s="454"/>
      <c r="H116" s="454">
        <v>45000</v>
      </c>
      <c r="I116" s="454">
        <v>45000</v>
      </c>
      <c r="J116" s="454">
        <v>45000</v>
      </c>
      <c r="K116" s="454">
        <v>45000</v>
      </c>
      <c r="L116" s="454">
        <v>45000</v>
      </c>
      <c r="M116" s="454"/>
      <c r="N116" s="454"/>
      <c r="O116" s="454"/>
      <c r="P116" s="454"/>
      <c r="Q116" s="454"/>
      <c r="R116" s="454">
        <v>45000</v>
      </c>
      <c r="S116" s="454">
        <v>45000</v>
      </c>
      <c r="T116" s="454">
        <v>45000</v>
      </c>
      <c r="U116" s="454">
        <v>45000</v>
      </c>
      <c r="V116" s="455">
        <v>45000</v>
      </c>
      <c r="W116" s="456"/>
      <c r="X116" s="457"/>
      <c r="Y116" s="458"/>
      <c r="Z116" s="458"/>
      <c r="AA116" s="458"/>
      <c r="AB116" s="458">
        <v>45000</v>
      </c>
      <c r="AC116" s="458">
        <v>45000</v>
      </c>
      <c r="AD116" s="458">
        <v>45000</v>
      </c>
      <c r="AE116" s="458">
        <v>45000</v>
      </c>
      <c r="AF116" s="458">
        <v>45000</v>
      </c>
      <c r="AG116" s="458">
        <v>45000</v>
      </c>
      <c r="AH116" s="47"/>
    </row>
    <row r="117" spans="1:39" x14ac:dyDescent="0.35">
      <c r="A117" s="450" t="s">
        <v>62</v>
      </c>
      <c r="B117" s="451" t="s">
        <v>76</v>
      </c>
      <c r="C117" s="452" t="s">
        <v>20</v>
      </c>
      <c r="D117" s="453"/>
      <c r="E117" s="454">
        <v>6000</v>
      </c>
      <c r="F117" s="454"/>
      <c r="G117" s="454">
        <v>6000</v>
      </c>
      <c r="H117" s="454"/>
      <c r="I117" s="454">
        <v>6000</v>
      </c>
      <c r="J117" s="454"/>
      <c r="K117" s="454">
        <v>6000</v>
      </c>
      <c r="L117" s="454"/>
      <c r="M117" s="454">
        <v>6000</v>
      </c>
      <c r="N117" s="454"/>
      <c r="O117" s="454">
        <v>6000</v>
      </c>
      <c r="P117" s="454"/>
      <c r="Q117" s="454">
        <v>6000</v>
      </c>
      <c r="R117" s="454"/>
      <c r="S117" s="454">
        <v>6000</v>
      </c>
      <c r="T117" s="454"/>
      <c r="U117" s="454">
        <v>6000</v>
      </c>
      <c r="V117" s="455"/>
      <c r="W117" s="456">
        <v>6000</v>
      </c>
      <c r="X117" s="457"/>
      <c r="Y117" s="458">
        <v>6000</v>
      </c>
      <c r="Z117" s="458"/>
      <c r="AA117" s="458">
        <v>6000</v>
      </c>
      <c r="AB117" s="458"/>
      <c r="AC117" s="458">
        <v>6000</v>
      </c>
      <c r="AD117" s="458"/>
      <c r="AE117" s="458">
        <v>6000</v>
      </c>
      <c r="AF117" s="458"/>
      <c r="AG117" s="458"/>
      <c r="AH117" s="47"/>
    </row>
    <row r="118" spans="1:39" x14ac:dyDescent="0.35">
      <c r="A118" s="450" t="s">
        <v>62</v>
      </c>
      <c r="B118" s="451" t="s">
        <v>77</v>
      </c>
      <c r="C118" s="452" t="s">
        <v>40</v>
      </c>
      <c r="D118" s="453"/>
      <c r="E118" s="454"/>
      <c r="F118" s="454"/>
      <c r="G118" s="454"/>
      <c r="H118" s="454">
        <v>1</v>
      </c>
      <c r="I118" s="454">
        <v>1</v>
      </c>
      <c r="J118" s="454">
        <v>1</v>
      </c>
      <c r="K118" s="454">
        <v>1</v>
      </c>
      <c r="L118" s="454">
        <v>1</v>
      </c>
      <c r="M118" s="454"/>
      <c r="N118" s="454"/>
      <c r="O118" s="454"/>
      <c r="P118" s="454"/>
      <c r="Q118" s="454"/>
      <c r="R118" s="454">
        <v>1</v>
      </c>
      <c r="S118" s="454">
        <v>1</v>
      </c>
      <c r="T118" s="454">
        <v>1</v>
      </c>
      <c r="U118" s="454">
        <v>1</v>
      </c>
      <c r="V118" s="455">
        <v>1</v>
      </c>
      <c r="W118" s="456"/>
      <c r="X118" s="457"/>
      <c r="Y118" s="458"/>
      <c r="Z118" s="458"/>
      <c r="AA118" s="458"/>
      <c r="AB118" s="458">
        <v>1</v>
      </c>
      <c r="AC118" s="458">
        <v>1</v>
      </c>
      <c r="AD118" s="458">
        <v>1</v>
      </c>
      <c r="AE118" s="458">
        <v>1</v>
      </c>
      <c r="AF118" s="458">
        <v>1</v>
      </c>
      <c r="AG118" s="458">
        <v>1</v>
      </c>
      <c r="AH118" s="47"/>
    </row>
    <row r="119" spans="1:39" x14ac:dyDescent="0.35">
      <c r="A119" s="450" t="s">
        <v>62</v>
      </c>
      <c r="B119" s="451" t="s">
        <v>78</v>
      </c>
      <c r="C119" s="452" t="s">
        <v>40</v>
      </c>
      <c r="D119" s="453">
        <v>1</v>
      </c>
      <c r="E119" s="454">
        <v>1</v>
      </c>
      <c r="F119" s="454">
        <v>1</v>
      </c>
      <c r="G119" s="454">
        <v>1</v>
      </c>
      <c r="H119" s="454">
        <v>1</v>
      </c>
      <c r="I119" s="454">
        <v>1</v>
      </c>
      <c r="J119" s="454">
        <v>1</v>
      </c>
      <c r="K119" s="454">
        <v>1</v>
      </c>
      <c r="L119" s="454">
        <v>1</v>
      </c>
      <c r="M119" s="454">
        <v>1</v>
      </c>
      <c r="N119" s="454">
        <v>1</v>
      </c>
      <c r="O119" s="454">
        <v>1</v>
      </c>
      <c r="P119" s="454">
        <v>1</v>
      </c>
      <c r="Q119" s="454">
        <v>1</v>
      </c>
      <c r="R119" s="454">
        <v>1</v>
      </c>
      <c r="S119" s="454">
        <v>1</v>
      </c>
      <c r="T119" s="454">
        <v>1</v>
      </c>
      <c r="U119" s="454">
        <v>1</v>
      </c>
      <c r="V119" s="455">
        <v>1</v>
      </c>
      <c r="W119" s="456">
        <v>1</v>
      </c>
      <c r="X119" s="457">
        <v>1</v>
      </c>
      <c r="Y119" s="458">
        <v>1</v>
      </c>
      <c r="Z119" s="458">
        <v>1</v>
      </c>
      <c r="AA119" s="458">
        <v>1</v>
      </c>
      <c r="AB119" s="458">
        <v>1</v>
      </c>
      <c r="AC119" s="458">
        <v>1</v>
      </c>
      <c r="AD119" s="458">
        <v>1</v>
      </c>
      <c r="AE119" s="458">
        <v>1</v>
      </c>
      <c r="AF119" s="458">
        <v>1</v>
      </c>
      <c r="AG119" s="458">
        <v>1</v>
      </c>
      <c r="AH119" s="47"/>
    </row>
    <row r="120" spans="1:39" x14ac:dyDescent="0.35">
      <c r="A120" s="450" t="s">
        <v>62</v>
      </c>
      <c r="B120" s="451" t="s">
        <v>79</v>
      </c>
      <c r="C120" s="452" t="s">
        <v>40</v>
      </c>
      <c r="D120" s="453">
        <v>1</v>
      </c>
      <c r="E120" s="454">
        <v>1</v>
      </c>
      <c r="F120" s="454">
        <v>1</v>
      </c>
      <c r="G120" s="454">
        <v>1</v>
      </c>
      <c r="H120" s="454">
        <v>1</v>
      </c>
      <c r="I120" s="454">
        <v>1</v>
      </c>
      <c r="J120" s="454">
        <v>1</v>
      </c>
      <c r="K120" s="454">
        <v>1</v>
      </c>
      <c r="L120" s="454">
        <v>1</v>
      </c>
      <c r="M120" s="454">
        <v>1</v>
      </c>
      <c r="N120" s="454">
        <v>1</v>
      </c>
      <c r="O120" s="454">
        <v>1</v>
      </c>
      <c r="P120" s="454">
        <v>1</v>
      </c>
      <c r="Q120" s="454">
        <v>1</v>
      </c>
      <c r="R120" s="454">
        <v>1</v>
      </c>
      <c r="S120" s="454">
        <v>1</v>
      </c>
      <c r="T120" s="454">
        <v>1</v>
      </c>
      <c r="U120" s="454">
        <v>1</v>
      </c>
      <c r="V120" s="455">
        <v>1</v>
      </c>
      <c r="W120" s="456">
        <v>1</v>
      </c>
      <c r="X120" s="457">
        <v>1</v>
      </c>
      <c r="Y120" s="458">
        <v>1</v>
      </c>
      <c r="Z120" s="458">
        <v>1</v>
      </c>
      <c r="AA120" s="458">
        <v>1</v>
      </c>
      <c r="AB120" s="458">
        <v>1</v>
      </c>
      <c r="AC120" s="458">
        <v>1</v>
      </c>
      <c r="AD120" s="458">
        <v>1</v>
      </c>
      <c r="AE120" s="458">
        <v>1</v>
      </c>
      <c r="AF120" s="458">
        <v>1</v>
      </c>
      <c r="AG120" s="458">
        <v>1</v>
      </c>
      <c r="AH120" s="47"/>
    </row>
    <row r="121" spans="1:39" ht="15" thickBot="1" x14ac:dyDescent="0.4">
      <c r="A121" s="450" t="s">
        <v>62</v>
      </c>
      <c r="B121" s="451" t="s">
        <v>63</v>
      </c>
      <c r="C121" s="452" t="s">
        <v>40</v>
      </c>
      <c r="D121" s="459">
        <v>1</v>
      </c>
      <c r="E121" s="460">
        <v>1</v>
      </c>
      <c r="F121" s="460">
        <v>1</v>
      </c>
      <c r="G121" s="460">
        <v>1</v>
      </c>
      <c r="H121" s="460">
        <v>1</v>
      </c>
      <c r="I121" s="460">
        <v>1</v>
      </c>
      <c r="J121" s="460">
        <v>1</v>
      </c>
      <c r="K121" s="460">
        <v>1</v>
      </c>
      <c r="L121" s="460">
        <v>1</v>
      </c>
      <c r="M121" s="460">
        <v>1</v>
      </c>
      <c r="N121" s="460">
        <v>1</v>
      </c>
      <c r="O121" s="460">
        <v>1</v>
      </c>
      <c r="P121" s="460">
        <v>1</v>
      </c>
      <c r="Q121" s="460">
        <v>1</v>
      </c>
      <c r="R121" s="460">
        <v>1</v>
      </c>
      <c r="S121" s="460">
        <v>1</v>
      </c>
      <c r="T121" s="460">
        <v>1</v>
      </c>
      <c r="U121" s="460">
        <v>1</v>
      </c>
      <c r="V121" s="461">
        <v>1</v>
      </c>
      <c r="W121" s="456">
        <v>1</v>
      </c>
      <c r="X121" s="457">
        <v>1</v>
      </c>
      <c r="Y121" s="458">
        <v>1</v>
      </c>
      <c r="Z121" s="458">
        <v>1</v>
      </c>
      <c r="AA121" s="458">
        <v>1</v>
      </c>
      <c r="AB121" s="458">
        <v>1</v>
      </c>
      <c r="AC121" s="458">
        <v>1</v>
      </c>
      <c r="AD121" s="458">
        <v>1</v>
      </c>
      <c r="AE121" s="458">
        <v>1</v>
      </c>
      <c r="AF121" s="458">
        <v>1</v>
      </c>
      <c r="AG121" s="458">
        <v>1</v>
      </c>
      <c r="AH121" s="47"/>
    </row>
    <row r="122" spans="1:39" x14ac:dyDescent="0.35">
      <c r="A122" s="9"/>
      <c r="B122" s="10" t="s">
        <v>80</v>
      </c>
      <c r="C122" s="11" t="s">
        <v>81</v>
      </c>
      <c r="D122" s="51">
        <v>35</v>
      </c>
      <c r="E122" s="12">
        <v>35</v>
      </c>
      <c r="F122" s="12">
        <v>35</v>
      </c>
      <c r="G122" s="12">
        <v>35</v>
      </c>
      <c r="H122" s="12">
        <v>35</v>
      </c>
      <c r="I122" s="12">
        <v>35</v>
      </c>
      <c r="J122" s="12">
        <v>35</v>
      </c>
      <c r="K122" s="12">
        <v>35</v>
      </c>
      <c r="L122" s="12">
        <v>35</v>
      </c>
      <c r="M122" s="12">
        <v>35</v>
      </c>
      <c r="N122" s="12">
        <v>35</v>
      </c>
      <c r="O122" s="12">
        <v>35</v>
      </c>
      <c r="P122" s="12">
        <v>35</v>
      </c>
      <c r="Q122" s="12">
        <v>35</v>
      </c>
      <c r="R122" s="12">
        <v>35</v>
      </c>
      <c r="S122" s="12">
        <v>35</v>
      </c>
      <c r="T122" s="12">
        <v>35</v>
      </c>
      <c r="U122" s="12">
        <v>35</v>
      </c>
      <c r="V122" s="13">
        <v>35</v>
      </c>
      <c r="W122" s="57">
        <v>35</v>
      </c>
      <c r="X122" s="53">
        <v>35</v>
      </c>
      <c r="Y122" s="14">
        <v>35</v>
      </c>
      <c r="Z122" s="14">
        <v>35</v>
      </c>
      <c r="AA122" s="14">
        <v>35</v>
      </c>
      <c r="AB122" s="14">
        <v>35</v>
      </c>
      <c r="AC122" s="14">
        <v>35</v>
      </c>
      <c r="AD122" s="14">
        <v>35</v>
      </c>
      <c r="AE122" s="14">
        <v>35</v>
      </c>
      <c r="AF122" s="14">
        <v>35</v>
      </c>
      <c r="AG122" s="14">
        <v>35</v>
      </c>
      <c r="AH122" s="48"/>
    </row>
    <row r="123" spans="1:39" ht="15" thickBot="1" x14ac:dyDescent="0.4">
      <c r="A123" s="15"/>
      <c r="B123" s="350" t="s">
        <v>135</v>
      </c>
      <c r="C123" s="17"/>
      <c r="D123" s="52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9"/>
      <c r="W123" s="58"/>
      <c r="X123" s="54"/>
      <c r="Y123" s="20"/>
      <c r="Z123" s="20"/>
      <c r="AA123" s="20"/>
      <c r="AB123" s="20"/>
      <c r="AC123" s="20"/>
      <c r="AD123" s="20"/>
      <c r="AE123" s="20"/>
      <c r="AF123" s="20"/>
      <c r="AG123" s="20"/>
      <c r="AH123" s="48"/>
    </row>
    <row r="124" spans="1:39" x14ac:dyDescent="0.35">
      <c r="A124" s="15"/>
      <c r="B124" s="16" t="s">
        <v>82</v>
      </c>
      <c r="C124" s="16" t="s">
        <v>83</v>
      </c>
      <c r="D124" s="522">
        <f>'Estimated Expenditure'!B5/1000</f>
        <v>28918.895</v>
      </c>
      <c r="E124" s="523">
        <f>'Estimated Expenditure'!C5/1000</f>
        <v>22798.637999999999</v>
      </c>
      <c r="F124" s="523">
        <f>'Estimated Expenditure'!D5/1000</f>
        <v>23220.201000000001</v>
      </c>
      <c r="G124" s="523">
        <f>'Estimated Expenditure'!E5/1000</f>
        <v>24412.12</v>
      </c>
      <c r="H124" s="523">
        <f>'Estimated Expenditure'!F5/1000</f>
        <v>28760.155999999999</v>
      </c>
      <c r="I124" s="523">
        <f>'Estimated Expenditure'!G5/1000</f>
        <v>13628.170942266393</v>
      </c>
      <c r="J124" s="523">
        <f>'Estimated Expenditure'!H5/1000</f>
        <v>25617.629040530479</v>
      </c>
      <c r="K124" s="523">
        <f>'Estimated Expenditure'!I5/1000</f>
        <v>20102.627598476862</v>
      </c>
      <c r="L124" s="523">
        <f>'Estimated Expenditure'!J5/1000</f>
        <v>48289.835714242807</v>
      </c>
      <c r="M124" s="523">
        <f>'Estimated Expenditure'!K5/1000</f>
        <v>21777.387322967894</v>
      </c>
      <c r="N124" s="523">
        <f>'Estimated Expenditure'!L5/1000</f>
        <v>22999.914594772221</v>
      </c>
      <c r="O124" s="523">
        <f>'Estimated Expenditure'!M5/1000</f>
        <v>13976.331297026993</v>
      </c>
      <c r="P124" s="523">
        <f>'Estimated Expenditure'!N5/1000</f>
        <v>19707.995651017864</v>
      </c>
      <c r="Q124" s="523">
        <f>'Estimated Expenditure'!O5/1000</f>
        <v>25002.548984533885</v>
      </c>
      <c r="R124" s="523">
        <f>'Estimated Expenditure'!P5/1000</f>
        <v>20531.664556411994</v>
      </c>
      <c r="S124" s="523">
        <f>'Estimated Expenditure'!Q5/1000</f>
        <v>9861.9916638986579</v>
      </c>
      <c r="T124" s="523">
        <f>'Estimated Expenditure'!R5/1000</f>
        <v>14171.142402731948</v>
      </c>
      <c r="U124" s="523">
        <f>'Estimated Expenditure'!S5/1000</f>
        <v>11089.212293309849</v>
      </c>
      <c r="V124" s="524">
        <f>'Estimated Expenditure'!T5/1000</f>
        <v>16843.499770880193</v>
      </c>
      <c r="W124" s="523">
        <f>'Estimated Expenditure'!U5/1000</f>
        <v>7687.6302005491416</v>
      </c>
      <c r="X124" s="523">
        <f>'Estimated Expenditure'!V5/1000</f>
        <v>37633.249398826483</v>
      </c>
      <c r="Y124" s="523">
        <f>'Estimated Expenditure'!W5/1000</f>
        <v>27409.524361533535</v>
      </c>
      <c r="Z124" s="523">
        <f>'Estimated Expenditure'!X5/1000</f>
        <v>27797.432509865295</v>
      </c>
      <c r="AA124" s="523">
        <f>'Estimated Expenditure'!Y5/1000</f>
        <v>24635.17513450986</v>
      </c>
      <c r="AB124" s="523">
        <f>'Estimated Expenditure'!Z5/1000</f>
        <v>22036.333823411871</v>
      </c>
      <c r="AC124" s="523">
        <f>'Estimated Expenditure'!AA5/1000</f>
        <v>21195.120845337558</v>
      </c>
      <c r="AD124" s="523">
        <f>'Estimated Expenditure'!AB5/1000</f>
        <v>12321.024987597279</v>
      </c>
      <c r="AE124" s="523">
        <f>'Estimated Expenditure'!AC5/1000</f>
        <v>5264.8408032016969</v>
      </c>
      <c r="AF124" s="523">
        <f>'Estimated Expenditure'!AD5/1000</f>
        <v>5116.8750609878316</v>
      </c>
      <c r="AG124" s="524">
        <f>'Estimated Expenditure'!AE5/1000</f>
        <v>20378.841880585715</v>
      </c>
      <c r="AH124" s="48"/>
      <c r="AI124" s="48"/>
      <c r="AJ124" s="48"/>
      <c r="AK124" s="48"/>
      <c r="AL124" s="48"/>
    </row>
    <row r="125" spans="1:39" x14ac:dyDescent="0.35">
      <c r="A125" s="15"/>
      <c r="B125" s="16" t="s">
        <v>84</v>
      </c>
      <c r="C125" s="16" t="s">
        <v>83</v>
      </c>
      <c r="D125" s="525">
        <f>'Estimated Expenditure'!B6/1000</f>
        <v>38508.84893</v>
      </c>
      <c r="E125" s="526">
        <f>'Estimated Expenditure'!C6/1000</f>
        <v>27203.70678</v>
      </c>
      <c r="F125" s="526">
        <f>'Estimated Expenditure'!D6/1000</f>
        <v>19425.628789999999</v>
      </c>
      <c r="G125" s="526">
        <f>'Estimated Expenditure'!E6/1000</f>
        <v>13906.831900000001</v>
      </c>
      <c r="H125" s="526">
        <f>'Estimated Expenditure'!F6/1000</f>
        <v>19240.153839999999</v>
      </c>
      <c r="I125" s="526">
        <f>('Estimated Expenditure'!G7+'Estimated Expenditure'!G8+'Estimated Expenditure'!G9+'Estimated Expenditure'!G10+'Estimated Expenditure'!G11+'Estimated Expenditure'!G12+'Estimated Expenditure'!G13+'Estimated Expenditure'!G14+'Estimated Expenditure'!G15+'Estimated Expenditure'!G17)/1000</f>
        <v>15793.331340512856</v>
      </c>
      <c r="J125" s="526">
        <f>('Estimated Expenditure'!H7+'Estimated Expenditure'!H8+'Estimated Expenditure'!H9+'Estimated Expenditure'!H10+'Estimated Expenditure'!H11+'Estimated Expenditure'!H12+'Estimated Expenditure'!H13+'Estimated Expenditure'!H14+'Estimated Expenditure'!H15+'Estimated Expenditure'!H17)/1000</f>
        <v>17293.117027980858</v>
      </c>
      <c r="K125" s="526">
        <f>('Estimated Expenditure'!I7+'Estimated Expenditure'!I8+'Estimated Expenditure'!I9+'Estimated Expenditure'!I10+'Estimated Expenditure'!I11+'Estimated Expenditure'!I12+'Estimated Expenditure'!I13+'Estimated Expenditure'!I14+'Estimated Expenditure'!I15+'Estimated Expenditure'!I17)/1000</f>
        <v>24503.969585995856</v>
      </c>
      <c r="L125" s="526">
        <f>('Estimated Expenditure'!J7+'Estimated Expenditure'!J8+'Estimated Expenditure'!J9+'Estimated Expenditure'!J10+'Estimated Expenditure'!J11+'Estimated Expenditure'!J12+'Estimated Expenditure'!J13+'Estimated Expenditure'!J14+'Estimated Expenditure'!J15+'Estimated Expenditure'!J17)/1000</f>
        <v>19288.640730843857</v>
      </c>
      <c r="M125" s="526">
        <f>('Estimated Expenditure'!K7+'Estimated Expenditure'!K8+'Estimated Expenditure'!K9+'Estimated Expenditure'!K10+'Estimated Expenditure'!K11+'Estimated Expenditure'!K12+'Estimated Expenditure'!K13+'Estimated Expenditure'!K14+'Estimated Expenditure'!K15+'Estimated Expenditure'!K17)/1000</f>
        <v>11951.717958580857</v>
      </c>
      <c r="N125" s="526">
        <f>('Estimated Expenditure'!L7+'Estimated Expenditure'!L8+'Estimated Expenditure'!L9+'Estimated Expenditure'!L10+'Estimated Expenditure'!L11+'Estimated Expenditure'!L12+'Estimated Expenditure'!L13+'Estimated Expenditure'!L14+'Estimated Expenditure'!L15+'Estimated Expenditure'!L17)/1000</f>
        <v>14207.356610000856</v>
      </c>
      <c r="O125" s="526">
        <f>('Estimated Expenditure'!M7+'Estimated Expenditure'!M8+'Estimated Expenditure'!M9+'Estimated Expenditure'!M10+'Estimated Expenditure'!M11+'Estimated Expenditure'!M12+'Estimated Expenditure'!M13+'Estimated Expenditure'!M14+'Estimated Expenditure'!M15+'Estimated Expenditure'!M17)/1000</f>
        <v>18115.421964170855</v>
      </c>
      <c r="P125" s="526">
        <f>('Estimated Expenditure'!N7+'Estimated Expenditure'!N8+'Estimated Expenditure'!N9+'Estimated Expenditure'!N10+'Estimated Expenditure'!N11+'Estimated Expenditure'!N12+'Estimated Expenditure'!N13+'Estimated Expenditure'!N14+'Estimated Expenditure'!N15+'Estimated Expenditure'!N17)/1000</f>
        <v>17214.024457220854</v>
      </c>
      <c r="Q125" s="526">
        <f>('Estimated Expenditure'!O7+'Estimated Expenditure'!O8+'Estimated Expenditure'!O9+'Estimated Expenditure'!O10+'Estimated Expenditure'!O11+'Estimated Expenditure'!O12+'Estimated Expenditure'!O13+'Estimated Expenditure'!O14+'Estimated Expenditure'!O15+'Estimated Expenditure'!O17)/1000</f>
        <v>33106.229055498858</v>
      </c>
      <c r="R125" s="526">
        <f>('Estimated Expenditure'!P7+'Estimated Expenditure'!P8+'Estimated Expenditure'!P9+'Estimated Expenditure'!P10+'Estimated Expenditure'!P11+'Estimated Expenditure'!P12+'Estimated Expenditure'!P13+'Estimated Expenditure'!P14+'Estimated Expenditure'!P15+'Estimated Expenditure'!P17)/1000</f>
        <v>23879.231592630858</v>
      </c>
      <c r="S125" s="526">
        <f>('Estimated Expenditure'!Q7+'Estimated Expenditure'!Q8+'Estimated Expenditure'!Q9+'Estimated Expenditure'!Q10+'Estimated Expenditure'!Q11+'Estimated Expenditure'!Q12+'Estimated Expenditure'!Q13+'Estimated Expenditure'!Q14+'Estimated Expenditure'!Q15+'Estimated Expenditure'!Q17)/1000</f>
        <v>16743.587408980853</v>
      </c>
      <c r="T125" s="526">
        <f>('Estimated Expenditure'!R7+'Estimated Expenditure'!R8+'Estimated Expenditure'!R9+'Estimated Expenditure'!R10+'Estimated Expenditure'!R11+'Estimated Expenditure'!R12+'Estimated Expenditure'!R13+'Estimated Expenditure'!R14+'Estimated Expenditure'!R15+'Estimated Expenditure'!R17)/1000</f>
        <v>17089.108847060859</v>
      </c>
      <c r="U125" s="526">
        <f>('Estimated Expenditure'!S7+'Estimated Expenditure'!S8+'Estimated Expenditure'!S9+'Estimated Expenditure'!S10+'Estimated Expenditure'!S11+'Estimated Expenditure'!S12+'Estimated Expenditure'!S13+'Estimated Expenditure'!S14+'Estimated Expenditure'!S15+'Estimated Expenditure'!S17)/1000</f>
        <v>18100.006394245851</v>
      </c>
      <c r="V125" s="527">
        <f>('Estimated Expenditure'!T7+'Estimated Expenditure'!T8+'Estimated Expenditure'!T9+'Estimated Expenditure'!T10+'Estimated Expenditure'!T11+'Estimated Expenditure'!T12+'Estimated Expenditure'!T13+'Estimated Expenditure'!T14+'Estimated Expenditure'!T15+'Estimated Expenditure'!T17)/1000</f>
        <v>24796.601456400855</v>
      </c>
      <c r="W125" s="526">
        <f>('Estimated Expenditure'!U7+'Estimated Expenditure'!U8+'Estimated Expenditure'!U9+'Estimated Expenditure'!U10+'Estimated Expenditure'!U11+'Estimated Expenditure'!U12+'Estimated Expenditure'!U13+'Estimated Expenditure'!U14+'Estimated Expenditure'!U15+'Estimated Expenditure'!U17)/1000</f>
        <v>16297.638918219855</v>
      </c>
      <c r="X125" s="526">
        <f>('Estimated Expenditure'!V7+'Estimated Expenditure'!V8+'Estimated Expenditure'!V9+'Estimated Expenditure'!V10+'Estimated Expenditure'!V11+'Estimated Expenditure'!V12+'Estimated Expenditure'!V13+'Estimated Expenditure'!V14+'Estimated Expenditure'!V15+'Estimated Expenditure'!V17)/1000</f>
        <v>6575.671326507535</v>
      </c>
      <c r="Y125" s="526">
        <f>('Estimated Expenditure'!W7+'Estimated Expenditure'!W8+'Estimated Expenditure'!W9+'Estimated Expenditure'!W10+'Estimated Expenditure'!W11+'Estimated Expenditure'!W12+'Estimated Expenditure'!W13+'Estimated Expenditure'!W14+'Estimated Expenditure'!W15+'Estimated Expenditure'!W17)/1000</f>
        <v>7547.5737834492138</v>
      </c>
      <c r="Z125" s="526">
        <f>('Estimated Expenditure'!X7+'Estimated Expenditure'!X8+'Estimated Expenditure'!X9+'Estimated Expenditure'!X10+'Estimated Expenditure'!X11+'Estimated Expenditure'!X12+'Estimated Expenditure'!X13+'Estimated Expenditure'!X14+'Estimated Expenditure'!X15+'Estimated Expenditure'!X17)/1000</f>
        <v>12789.053452559443</v>
      </c>
      <c r="AA125" s="526">
        <f>('Estimated Expenditure'!Y7+'Estimated Expenditure'!Y8+'Estimated Expenditure'!Y9+'Estimated Expenditure'!Y10+'Estimated Expenditure'!Y11+'Estimated Expenditure'!Y12+'Estimated Expenditure'!Y13+'Estimated Expenditure'!Y14+'Estimated Expenditure'!Y15+'Estimated Expenditure'!Y17)/1000</f>
        <v>20983.220805219527</v>
      </c>
      <c r="AB125" s="526">
        <f>('Estimated Expenditure'!Z7+'Estimated Expenditure'!Z8+'Estimated Expenditure'!Z9+'Estimated Expenditure'!Z10+'Estimated Expenditure'!Z11+'Estimated Expenditure'!Z12+'Estimated Expenditure'!Z13+'Estimated Expenditure'!Z14+'Estimated Expenditure'!Z15+'Estimated Expenditure'!Z17)/1000</f>
        <v>17946.996812056765</v>
      </c>
      <c r="AC125" s="526">
        <f>('Estimated Expenditure'!AA7+'Estimated Expenditure'!AA8+'Estimated Expenditure'!AA9+'Estimated Expenditure'!AA10+'Estimated Expenditure'!AA11+'Estimated Expenditure'!AA12+'Estimated Expenditure'!AA13+'Estimated Expenditure'!AA14+'Estimated Expenditure'!AA15+'Estimated Expenditure'!AA17)/1000</f>
        <v>23717.139909258396</v>
      </c>
      <c r="AD125" s="526">
        <f>('Estimated Expenditure'!AB7+'Estimated Expenditure'!AB8+'Estimated Expenditure'!AB9+'Estimated Expenditure'!AB10+'Estimated Expenditure'!AB11+'Estimated Expenditure'!AB12+'Estimated Expenditure'!AB13+'Estimated Expenditure'!AB14+'Estimated Expenditure'!AB15+'Estimated Expenditure'!AB17)/1000</f>
        <v>23703.681309539279</v>
      </c>
      <c r="AE125" s="526">
        <f>('Estimated Expenditure'!AC7+'Estimated Expenditure'!AC8+'Estimated Expenditure'!AC9+'Estimated Expenditure'!AC10+'Estimated Expenditure'!AC11+'Estimated Expenditure'!AC12+'Estimated Expenditure'!AC13+'Estimated Expenditure'!AC14+'Estimated Expenditure'!AC15+'Estimated Expenditure'!AC17)/1000</f>
        <v>13152.532837988487</v>
      </c>
      <c r="AF125" s="526">
        <f>('Estimated Expenditure'!AD7+'Estimated Expenditure'!AD8+'Estimated Expenditure'!AD9+'Estimated Expenditure'!AD10+'Estimated Expenditure'!AD11+'Estimated Expenditure'!AD12+'Estimated Expenditure'!AD13+'Estimated Expenditure'!AD14+'Estimated Expenditure'!AD15+'Estimated Expenditure'!AD17)/1000</f>
        <v>19608.914167594812</v>
      </c>
      <c r="AG125" s="526">
        <f>('Estimated Expenditure'!AE7+'Estimated Expenditure'!AE8+'Estimated Expenditure'!AE9+'Estimated Expenditure'!AE10+'Estimated Expenditure'!AE11+'Estimated Expenditure'!AE12+'Estimated Expenditure'!AE13+'Estimated Expenditure'!AE14+'Estimated Expenditure'!AE15+'Estimated Expenditure'!AE17)/1000</f>
        <v>16172.771711574826</v>
      </c>
      <c r="AH125" s="48"/>
      <c r="AI125" s="48"/>
      <c r="AJ125" s="48"/>
      <c r="AK125" s="48"/>
      <c r="AL125" s="48"/>
    </row>
    <row r="126" spans="1:39" x14ac:dyDescent="0.35">
      <c r="A126" s="15"/>
      <c r="B126" s="16" t="s">
        <v>85</v>
      </c>
      <c r="C126" s="16" t="s">
        <v>83</v>
      </c>
      <c r="D126" s="525">
        <f>'Estimated Expenditure'!B24/1000</f>
        <v>8562.1832596069944</v>
      </c>
      <c r="E126" s="526">
        <f>'Estimated Expenditure'!C24/1000</f>
        <v>9236.2409699999989</v>
      </c>
      <c r="F126" s="526">
        <f>'Estimated Expenditure'!D24/1000</f>
        <v>9331.5733499999988</v>
      </c>
      <c r="G126" s="526">
        <f>'Estimated Expenditure'!E24/1000</f>
        <v>7391.9260799999993</v>
      </c>
      <c r="H126" s="526">
        <f>'Estimated Expenditure'!F24/1000</f>
        <v>8761.2290534999993</v>
      </c>
      <c r="I126" s="526">
        <f>('Estimated Expenditure'!G16+'Estimated Expenditure'!G24)/1000</f>
        <v>8551.5843499999974</v>
      </c>
      <c r="J126" s="526">
        <f>('Estimated Expenditure'!H16+'Estimated Expenditure'!H24)/1000</f>
        <v>5771.2609534999992</v>
      </c>
      <c r="K126" s="526">
        <f>('Estimated Expenditure'!I16+'Estimated Expenditure'!I24)/1000</f>
        <v>6279.1038749999998</v>
      </c>
      <c r="L126" s="526">
        <f>('Estimated Expenditure'!J16+'Estimated Expenditure'!J24)/1000</f>
        <v>6610.9338899999993</v>
      </c>
      <c r="M126" s="526">
        <f>('Estimated Expenditure'!K16+'Estimated Expenditure'!K24)/1000</f>
        <v>5808.8585774999992</v>
      </c>
      <c r="N126" s="526">
        <f>('Estimated Expenditure'!L16+'Estimated Expenditure'!L24)/1000</f>
        <v>6451.4354849999991</v>
      </c>
      <c r="O126" s="526">
        <f>('Estimated Expenditure'!M16+'Estimated Expenditure'!M24)/1000</f>
        <v>10173.431597999997</v>
      </c>
      <c r="P126" s="526">
        <f>('Estimated Expenditure'!N16+'Estimated Expenditure'!N24)/1000</f>
        <v>8251.5674834999991</v>
      </c>
      <c r="Q126" s="526">
        <f>('Estimated Expenditure'!O16+'Estimated Expenditure'!O24)/1000</f>
        <v>6090.27243</v>
      </c>
      <c r="R126" s="526">
        <f>('Estimated Expenditure'!P16+'Estimated Expenditure'!P24)/1000</f>
        <v>13446.701864999999</v>
      </c>
      <c r="S126" s="526">
        <f>('Estimated Expenditure'!Q16+'Estimated Expenditure'!Q24)/1000</f>
        <v>12023.059435000001</v>
      </c>
      <c r="T126" s="526">
        <f>('Estimated Expenditure'!R16+'Estimated Expenditure'!R24)/1000</f>
        <v>11972.646939</v>
      </c>
      <c r="U126" s="526">
        <f>('Estimated Expenditure'!S16+'Estimated Expenditure'!S24)/1000</f>
        <v>12292.761704499999</v>
      </c>
      <c r="V126" s="527">
        <f>('Estimated Expenditure'!T16+'Estimated Expenditure'!T24)/1000</f>
        <v>7994.9033834999991</v>
      </c>
      <c r="W126" s="526">
        <f>('Estimated Expenditure'!U16+'Estimated Expenditure'!U24)/1000</f>
        <v>1100</v>
      </c>
      <c r="X126" s="526">
        <f>('Estimated Expenditure'!V16+'Estimated Expenditure'!V24)/1000</f>
        <v>1455.3</v>
      </c>
      <c r="Y126" s="526">
        <f>('Estimated Expenditure'!W16+'Estimated Expenditure'!W24)/1000</f>
        <v>4178.3774999999996</v>
      </c>
      <c r="Z126" s="526">
        <f>('Estimated Expenditure'!X16+'Estimated Expenditure'!X24)/1000</f>
        <v>4490.5874999999996</v>
      </c>
      <c r="AA126" s="526">
        <f>('Estimated Expenditure'!Y16+'Estimated Expenditure'!Y24)/1000</f>
        <v>11583.199999999999</v>
      </c>
      <c r="AB126" s="526">
        <f>('Estimated Expenditure'!Z16+'Estimated Expenditure'!Z24)/1000</f>
        <v>7308.95</v>
      </c>
      <c r="AC126" s="526">
        <f>('Estimated Expenditure'!AA16+'Estimated Expenditure'!AA24)/1000</f>
        <v>2714.9749999999999</v>
      </c>
      <c r="AD126" s="526">
        <f>('Estimated Expenditure'!AB16+'Estimated Expenditure'!AB24)/1000</f>
        <v>12148.95</v>
      </c>
      <c r="AE126" s="526">
        <f>('Estimated Expenditure'!AC16+'Estimated Expenditure'!AC24)/1000</f>
        <v>17167.837499999998</v>
      </c>
      <c r="AF126" s="526">
        <f>('Estimated Expenditure'!AD16+'Estimated Expenditure'!AD24)/1000</f>
        <v>5598.0374999999995</v>
      </c>
      <c r="AG126" s="527">
        <f>('Estimated Expenditure'!AE16+'Estimated Expenditure'!AE24)/1000</f>
        <v>2834.0499</v>
      </c>
      <c r="AH126" s="48"/>
      <c r="AI126" s="48"/>
      <c r="AJ126" s="48"/>
      <c r="AK126" s="48"/>
      <c r="AL126" s="48"/>
    </row>
    <row r="127" spans="1:39" x14ac:dyDescent="0.35">
      <c r="A127" s="15"/>
      <c r="B127" s="16" t="s">
        <v>25</v>
      </c>
      <c r="C127" s="16" t="s">
        <v>83</v>
      </c>
      <c r="D127" s="525">
        <f>('Estimated Expenditure'!B19+'Estimated Expenditure'!B20+'Estimated Expenditure'!B21+'Estimated Expenditure'!B22+'Estimated Expenditure'!B25+'Estimated Expenditure'!B26+'Estimated Expenditure'!B27)/1000</f>
        <v>24845.801250867644</v>
      </c>
      <c r="E127" s="526">
        <f>('Estimated Expenditure'!C19+'Estimated Expenditure'!C20+'Estimated Expenditure'!C21+'Estimated Expenditure'!C22+'Estimated Expenditure'!C25+'Estimated Expenditure'!C26+'Estimated Expenditure'!C27)/1000</f>
        <v>16210.824004756363</v>
      </c>
      <c r="F127" s="526">
        <f>('Estimated Expenditure'!D19+'Estimated Expenditure'!D20+'Estimated Expenditure'!D21+'Estimated Expenditure'!D22+'Estimated Expenditure'!D25+'Estimated Expenditure'!D26+'Estimated Expenditure'!D27)/1000</f>
        <v>12989.108183743563</v>
      </c>
      <c r="G127" s="526">
        <f>('Estimated Expenditure'!E19+'Estimated Expenditure'!E20+'Estimated Expenditure'!E21+'Estimated Expenditure'!E22+'Estimated Expenditure'!E25+'Estimated Expenditure'!E26+'Estimated Expenditure'!E27)/1000</f>
        <v>12660.211687621962</v>
      </c>
      <c r="H127" s="526">
        <f>('Estimated Expenditure'!F19+'Estimated Expenditure'!F20+'Estimated Expenditure'!F21+'Estimated Expenditure'!F22+'Estimated Expenditure'!F25+'Estimated Expenditure'!F26+'Estimated Expenditure'!F27)/1000</f>
        <v>10656.91023456836</v>
      </c>
      <c r="I127" s="526">
        <f>('Estimated Expenditure'!G19+'Estimated Expenditure'!G20+'Estimated Expenditure'!G21+'Estimated Expenditure'!G22+'Estimated Expenditure'!G25+'Estimated Expenditure'!G26+'Estimated Expenditure'!G27)/1000</f>
        <v>9632.0766666666659</v>
      </c>
      <c r="J127" s="526">
        <f>('Estimated Expenditure'!H19+'Estimated Expenditure'!H20+'Estimated Expenditure'!H21+'Estimated Expenditure'!H22+'Estimated Expenditure'!H25+'Estimated Expenditure'!H26+'Estimated Expenditure'!H27)/1000</f>
        <v>8967.0766666666659</v>
      </c>
      <c r="K127" s="526">
        <f>('Estimated Expenditure'!I19+'Estimated Expenditure'!I20+'Estimated Expenditure'!I21+'Estimated Expenditure'!I22+'Estimated Expenditure'!I25+'Estimated Expenditure'!I26+'Estimated Expenditure'!I27)/1000</f>
        <v>9476.0766666666659</v>
      </c>
      <c r="L127" s="526">
        <f>('Estimated Expenditure'!J19+'Estimated Expenditure'!J20+'Estimated Expenditure'!J21+'Estimated Expenditure'!J22+'Estimated Expenditure'!J25+'Estimated Expenditure'!J26+'Estimated Expenditure'!J27)/1000</f>
        <v>9401.0766666666659</v>
      </c>
      <c r="M127" s="526">
        <f>('Estimated Expenditure'!K19+'Estimated Expenditure'!K20+'Estimated Expenditure'!K21+'Estimated Expenditure'!K22+'Estimated Expenditure'!K25+'Estimated Expenditure'!K26+'Estimated Expenditure'!K27)/1000</f>
        <v>9401.5766666666659</v>
      </c>
      <c r="N127" s="526">
        <f>('Estimated Expenditure'!L19+'Estimated Expenditure'!L20+'Estimated Expenditure'!L21+'Estimated Expenditure'!L22+'Estimated Expenditure'!L25+'Estimated Expenditure'!L26+'Estimated Expenditure'!L27)/1000</f>
        <v>9563.0766666666659</v>
      </c>
      <c r="O127" s="526">
        <f>('Estimated Expenditure'!M19+'Estimated Expenditure'!M20+'Estimated Expenditure'!M21+'Estimated Expenditure'!M22+'Estimated Expenditure'!M25+'Estimated Expenditure'!M26+'Estimated Expenditure'!M27)/1000</f>
        <v>9512.0766666666659</v>
      </c>
      <c r="P127" s="526">
        <f>('Estimated Expenditure'!N19+'Estimated Expenditure'!N20+'Estimated Expenditure'!N21+'Estimated Expenditure'!N22+'Estimated Expenditure'!N25+'Estimated Expenditure'!N26+'Estimated Expenditure'!N27)/1000</f>
        <v>9480.5766666666659</v>
      </c>
      <c r="Q127" s="526">
        <f>('Estimated Expenditure'!O19+'Estimated Expenditure'!O20+'Estimated Expenditure'!O21+'Estimated Expenditure'!O22+'Estimated Expenditure'!O25+'Estimated Expenditure'!O26+'Estimated Expenditure'!O27)/1000</f>
        <v>9612.0766666666659</v>
      </c>
      <c r="R127" s="526">
        <f>('Estimated Expenditure'!P19+'Estimated Expenditure'!P20+'Estimated Expenditure'!P21+'Estimated Expenditure'!P22+'Estimated Expenditure'!P25+'Estimated Expenditure'!P26+'Estimated Expenditure'!P27)/1000</f>
        <v>9350.5766666666659</v>
      </c>
      <c r="S127" s="526">
        <f>('Estimated Expenditure'!Q19+'Estimated Expenditure'!Q20+'Estimated Expenditure'!Q21+'Estimated Expenditure'!Q22+'Estimated Expenditure'!Q25+'Estimated Expenditure'!Q26+'Estimated Expenditure'!Q27)/1000</f>
        <v>10253.076666666666</v>
      </c>
      <c r="T127" s="526">
        <f>('Estimated Expenditure'!R19+'Estimated Expenditure'!R20+'Estimated Expenditure'!R21+'Estimated Expenditure'!R22+'Estimated Expenditure'!R25+'Estimated Expenditure'!R26+'Estimated Expenditure'!R27)/1000</f>
        <v>9653.0766666666659</v>
      </c>
      <c r="U127" s="526">
        <f>('Estimated Expenditure'!S19+'Estimated Expenditure'!S20+'Estimated Expenditure'!S21+'Estimated Expenditure'!S22+'Estimated Expenditure'!S25+'Estimated Expenditure'!S26+'Estimated Expenditure'!S27)/1000</f>
        <v>9390.7016666666659</v>
      </c>
      <c r="V127" s="527">
        <f>('Estimated Expenditure'!T19+'Estimated Expenditure'!T20+'Estimated Expenditure'!T21+'Estimated Expenditure'!T22+'Estimated Expenditure'!T25+'Estimated Expenditure'!T26+'Estimated Expenditure'!T27)/1000</f>
        <v>9662.0766666666659</v>
      </c>
      <c r="W127" s="526">
        <f>('Estimated Expenditure'!U19+'Estimated Expenditure'!U20+'Estimated Expenditure'!U21+'Estimated Expenditure'!U22+'Estimated Expenditure'!U25+'Estimated Expenditure'!U26+'Estimated Expenditure'!U27)/1000</f>
        <v>9758.0766666666659</v>
      </c>
      <c r="X127" s="526">
        <f>('Estimated Expenditure'!V19+'Estimated Expenditure'!V20+'Estimated Expenditure'!V21+'Estimated Expenditure'!V22+'Estimated Expenditure'!V25+'Estimated Expenditure'!V26+'Estimated Expenditure'!V27)/1000</f>
        <v>9700.91</v>
      </c>
      <c r="Y127" s="526">
        <f>('Estimated Expenditure'!W19+'Estimated Expenditure'!W20+'Estimated Expenditure'!W21+'Estimated Expenditure'!W22+'Estimated Expenditure'!W25+'Estimated Expenditure'!W26+'Estimated Expenditure'!W27)/1000</f>
        <v>9684.91</v>
      </c>
      <c r="Z127" s="526">
        <f>('Estimated Expenditure'!X19+'Estimated Expenditure'!X20+'Estimated Expenditure'!X21+'Estimated Expenditure'!X22+'Estimated Expenditure'!X25+'Estimated Expenditure'!X26+'Estimated Expenditure'!X27)/1000</f>
        <v>10502.91</v>
      </c>
      <c r="AA127" s="526">
        <f>('Estimated Expenditure'!Y19+'Estimated Expenditure'!Y20+'Estimated Expenditure'!Y21+'Estimated Expenditure'!Y22+'Estimated Expenditure'!Y25+'Estimated Expenditure'!Y26+'Estimated Expenditure'!Y27)/1000</f>
        <v>12446.66</v>
      </c>
      <c r="AB127" s="526">
        <f>('Estimated Expenditure'!Z19+'Estimated Expenditure'!Z20+'Estimated Expenditure'!Z21+'Estimated Expenditure'!Z22+'Estimated Expenditure'!Z25+'Estimated Expenditure'!Z26+'Estimated Expenditure'!Z27)/1000</f>
        <v>12902.16</v>
      </c>
      <c r="AC127" s="526">
        <f>('Estimated Expenditure'!AA19+'Estimated Expenditure'!AA20+'Estimated Expenditure'!AA21+'Estimated Expenditure'!AA22+'Estimated Expenditure'!AA25+'Estimated Expenditure'!AA26+'Estimated Expenditure'!AA27)/1000</f>
        <v>12942.16</v>
      </c>
      <c r="AD127" s="526">
        <f>('Estimated Expenditure'!AB19+'Estimated Expenditure'!AB20+'Estimated Expenditure'!AB21+'Estimated Expenditure'!AB22+'Estimated Expenditure'!AB25+'Estimated Expenditure'!AB26+'Estimated Expenditure'!AB27)/1000</f>
        <v>12521.66</v>
      </c>
      <c r="AE127" s="526">
        <f>('Estimated Expenditure'!AC19+'Estimated Expenditure'!AC20+'Estimated Expenditure'!AC21+'Estimated Expenditure'!AC22+'Estimated Expenditure'!AC25+'Estimated Expenditure'!AC26+'Estimated Expenditure'!AC27)/1000</f>
        <v>11573.16</v>
      </c>
      <c r="AF127" s="526">
        <f>('Estimated Expenditure'!AD19+'Estimated Expenditure'!AD20+'Estimated Expenditure'!AD21+'Estimated Expenditure'!AD22+'Estimated Expenditure'!AD25+'Estimated Expenditure'!AD26+'Estimated Expenditure'!AD27)/1000</f>
        <v>10612.16</v>
      </c>
      <c r="AG127" s="527">
        <f>('Estimated Expenditure'!AE19+'Estimated Expenditure'!AE20+'Estimated Expenditure'!AE21+'Estimated Expenditure'!AE22+'Estimated Expenditure'!AE25+'Estimated Expenditure'!AE26+'Estimated Expenditure'!AE27)/1000</f>
        <v>10305.66</v>
      </c>
      <c r="AH127" s="48"/>
      <c r="AI127" s="48"/>
      <c r="AJ127" s="48"/>
      <c r="AK127" s="48"/>
      <c r="AL127" s="48"/>
      <c r="AM127" s="221"/>
    </row>
    <row r="128" spans="1:39" ht="15" thickBot="1" x14ac:dyDescent="0.4">
      <c r="A128" s="21"/>
      <c r="B128" s="22" t="s">
        <v>86</v>
      </c>
      <c r="C128" s="22" t="s">
        <v>83</v>
      </c>
      <c r="D128" s="528">
        <f>'Estimated Expenditure'!B18/1000</f>
        <v>4312.7020000000002</v>
      </c>
      <c r="E128" s="529">
        <f>'Estimated Expenditure'!C18/1000</f>
        <v>3198.2049999999999</v>
      </c>
      <c r="F128" s="529">
        <f>'Estimated Expenditure'!D18/1000</f>
        <v>3326.672</v>
      </c>
      <c r="G128" s="529">
        <f>'Estimated Expenditure'!E18/1000</f>
        <v>3254.4279999999999</v>
      </c>
      <c r="H128" s="529">
        <f>'Estimated Expenditure'!F18/1000</f>
        <v>1542.3440000000001</v>
      </c>
      <c r="I128" s="529">
        <f>'Estimated Expenditure'!G18/1000</f>
        <v>654.61409682382236</v>
      </c>
      <c r="J128" s="529">
        <f>'Estimated Expenditure'!H18/1000</f>
        <v>2564.564785854498</v>
      </c>
      <c r="K128" s="529">
        <f>'Estimated Expenditure'!I18/1000</f>
        <v>1438.1673339311249</v>
      </c>
      <c r="L128" s="529">
        <f>'Estimated Expenditure'!J18/1000</f>
        <v>580.22613127566069</v>
      </c>
      <c r="M128" s="529">
        <f>'Estimated Expenditure'!K18/1000</f>
        <v>515.75656113392063</v>
      </c>
      <c r="N128" s="529">
        <f>'Estimated Expenditure'!L18/1000</f>
        <v>5569.1790207057002</v>
      </c>
      <c r="O128" s="529">
        <f>'Estimated Expenditure'!M18/1000</f>
        <v>6592.4643380641446</v>
      </c>
      <c r="P128" s="529">
        <f>'Estimated Expenditure'!N18/1000</f>
        <v>768.67564399767014</v>
      </c>
      <c r="Q128" s="529">
        <f>'Estimated Expenditure'!O18/1000</f>
        <v>619.8997129013469</v>
      </c>
      <c r="R128" s="529">
        <f>'Estimated Expenditure'!P18/1000</f>
        <v>2479.5988516053876</v>
      </c>
      <c r="S128" s="529">
        <f>'Estimated Expenditure'!Q18/1000</f>
        <v>1135.6562740352676</v>
      </c>
      <c r="T128" s="529">
        <f>'Estimated Expenditure'!R18/1000</f>
        <v>2706.5267793066096</v>
      </c>
      <c r="U128" s="529">
        <f>'Estimated Expenditure'!S18/1000</f>
        <v>1031.5131222678413</v>
      </c>
      <c r="V128" s="530">
        <f>'Estimated Expenditure'!T18/1000</f>
        <v>669.49168993345472</v>
      </c>
      <c r="W128" s="529">
        <f>'Estimated Expenditure'!U18/1000</f>
        <v>1031.5131222678413</v>
      </c>
      <c r="X128" s="529">
        <f>'Estimated Expenditure'!V18/1000</f>
        <v>520</v>
      </c>
      <c r="Y128" s="529">
        <f>'Estimated Expenditure'!W18/1000</f>
        <v>630</v>
      </c>
      <c r="Z128" s="529">
        <f>'Estimated Expenditure'!X18/1000</f>
        <v>500</v>
      </c>
      <c r="AA128" s="529">
        <f>'Estimated Expenditure'!Y18/1000</f>
        <v>348.20699999999999</v>
      </c>
      <c r="AB128" s="529">
        <f>'Estimated Expenditure'!Z18/1000</f>
        <v>350</v>
      </c>
      <c r="AC128" s="529">
        <f>'Estimated Expenditure'!AA18/1000</f>
        <v>850</v>
      </c>
      <c r="AD128" s="529">
        <f>'Estimated Expenditure'!AB18/1000</f>
        <v>720</v>
      </c>
      <c r="AE128" s="529">
        <f>'Estimated Expenditure'!AC18/1000</f>
        <v>892.83900199999994</v>
      </c>
      <c r="AF128" s="529">
        <f>'Estimated Expenditure'!AD18/1000</f>
        <v>2050</v>
      </c>
      <c r="AG128" s="530">
        <f>'Estimated Expenditure'!AE18/1000</f>
        <v>1650</v>
      </c>
      <c r="AH128" s="48"/>
      <c r="AI128" s="48"/>
      <c r="AJ128" s="48"/>
      <c r="AK128" s="48"/>
      <c r="AL128" s="48"/>
      <c r="AM128" s="221"/>
    </row>
    <row r="129" spans="1:39" ht="15" thickBot="1" x14ac:dyDescent="0.4">
      <c r="A129" s="23"/>
      <c r="B129" s="16" t="s">
        <v>87</v>
      </c>
      <c r="C129" s="17" t="s">
        <v>83</v>
      </c>
      <c r="D129" s="518">
        <f>SUM(D124:D128)</f>
        <v>105148.43044047465</v>
      </c>
      <c r="E129" s="519">
        <f t="shared" ref="E129:AG129" si="0">SUM(E124:E128)</f>
        <v>78647.61475475636</v>
      </c>
      <c r="F129" s="519">
        <f t="shared" si="0"/>
        <v>68293.183323743564</v>
      </c>
      <c r="G129" s="519">
        <f t="shared" si="0"/>
        <v>61625.517667621956</v>
      </c>
      <c r="H129" s="519">
        <f>SUM(H124:H128)</f>
        <v>68960.793128068355</v>
      </c>
      <c r="I129" s="529">
        <f>SUM(I124:I128)</f>
        <v>48259.777396269739</v>
      </c>
      <c r="J129" s="519">
        <f t="shared" si="0"/>
        <v>60213.6484745325</v>
      </c>
      <c r="K129" s="519">
        <f t="shared" si="0"/>
        <v>61799.945060070509</v>
      </c>
      <c r="L129" s="519">
        <f t="shared" si="0"/>
        <v>84170.713133028985</v>
      </c>
      <c r="M129" s="519">
        <f t="shared" si="0"/>
        <v>49455.297086849336</v>
      </c>
      <c r="N129" s="519">
        <f t="shared" si="0"/>
        <v>58790.962377145443</v>
      </c>
      <c r="O129" s="519">
        <f t="shared" si="0"/>
        <v>58369.725863928652</v>
      </c>
      <c r="P129" s="519">
        <f t="shared" si="0"/>
        <v>55422.839902403051</v>
      </c>
      <c r="Q129" s="519">
        <f t="shared" si="0"/>
        <v>74431.026849600748</v>
      </c>
      <c r="R129" s="519">
        <f t="shared" si="0"/>
        <v>69687.773532314895</v>
      </c>
      <c r="S129" s="519">
        <f t="shared" si="0"/>
        <v>50017.371448581449</v>
      </c>
      <c r="T129" s="519">
        <f t="shared" si="0"/>
        <v>55592.501634766086</v>
      </c>
      <c r="U129" s="519">
        <f t="shared" si="0"/>
        <v>51904.195180990209</v>
      </c>
      <c r="V129" s="520">
        <f>SUM(V124:V128)</f>
        <v>59966.572967381173</v>
      </c>
      <c r="W129" s="521">
        <f t="shared" si="0"/>
        <v>35874.858907703499</v>
      </c>
      <c r="X129" s="521">
        <f>SUM(X124:X128)</f>
        <v>55885.13072533402</v>
      </c>
      <c r="Y129" s="521">
        <f t="shared" si="0"/>
        <v>49450.385644982758</v>
      </c>
      <c r="Z129" s="521">
        <f t="shared" si="0"/>
        <v>56079.983462424745</v>
      </c>
      <c r="AA129" s="521">
        <f t="shared" si="0"/>
        <v>69996.462939729376</v>
      </c>
      <c r="AB129" s="521">
        <f t="shared" si="0"/>
        <v>60544.440635468636</v>
      </c>
      <c r="AC129" s="521">
        <f t="shared" si="0"/>
        <v>61419.395754595957</v>
      </c>
      <c r="AD129" s="521">
        <f t="shared" si="0"/>
        <v>61415.316297136567</v>
      </c>
      <c r="AE129" s="521">
        <f t="shared" si="0"/>
        <v>48051.21014319019</v>
      </c>
      <c r="AF129" s="521">
        <f t="shared" si="0"/>
        <v>42985.986728582648</v>
      </c>
      <c r="AG129" s="521">
        <f t="shared" si="0"/>
        <v>51341.323492160533</v>
      </c>
      <c r="AH129" s="48"/>
      <c r="AI129" s="48"/>
      <c r="AJ129" s="48"/>
      <c r="AK129" s="48"/>
      <c r="AL129" s="48"/>
      <c r="AM129" s="221"/>
    </row>
    <row r="130" spans="1:39" x14ac:dyDescent="0.35">
      <c r="A130" s="24"/>
      <c r="B130" s="24"/>
      <c r="C130" s="24"/>
      <c r="D130" s="56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5"/>
      <c r="AI130" s="221"/>
      <c r="AJ130" s="221"/>
      <c r="AK130" s="221"/>
      <c r="AL130" s="221"/>
      <c r="AM130" s="221"/>
    </row>
    <row r="131" spans="1:39" x14ac:dyDescent="0.3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21"/>
      <c r="AJ131" s="221"/>
      <c r="AK131" s="221"/>
      <c r="AL131" s="221"/>
      <c r="AM131" s="221"/>
    </row>
    <row r="132" spans="1:39" x14ac:dyDescent="0.3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21"/>
      <c r="AJ132" s="221"/>
      <c r="AK132" s="221"/>
      <c r="AL132" s="221"/>
      <c r="AM132" s="221"/>
    </row>
    <row r="133" spans="1:39" x14ac:dyDescent="0.35">
      <c r="A133" s="25"/>
      <c r="B133" s="26" t="s">
        <v>88</v>
      </c>
      <c r="C133" s="26" t="s">
        <v>89</v>
      </c>
      <c r="D133" s="27">
        <v>12</v>
      </c>
      <c r="E133" s="27">
        <v>13</v>
      </c>
      <c r="F133" s="27">
        <v>14</v>
      </c>
      <c r="G133" s="27">
        <v>15</v>
      </c>
      <c r="H133" s="27">
        <v>16</v>
      </c>
      <c r="I133" s="27">
        <v>17</v>
      </c>
      <c r="J133" s="27">
        <v>18</v>
      </c>
      <c r="K133" s="27">
        <v>19</v>
      </c>
      <c r="L133" s="27">
        <v>20</v>
      </c>
      <c r="M133" s="27">
        <v>21</v>
      </c>
      <c r="N133" s="27">
        <v>22</v>
      </c>
      <c r="O133" s="27">
        <v>23</v>
      </c>
      <c r="P133" s="27">
        <v>24</v>
      </c>
      <c r="Q133" s="27">
        <v>25</v>
      </c>
      <c r="R133" s="27">
        <v>26</v>
      </c>
      <c r="S133" s="27">
        <v>27</v>
      </c>
      <c r="T133" s="27">
        <v>28</v>
      </c>
      <c r="U133" s="27">
        <v>29</v>
      </c>
      <c r="V133" s="27">
        <v>30</v>
      </c>
      <c r="W133" s="27">
        <v>31</v>
      </c>
      <c r="X133" s="27">
        <v>32</v>
      </c>
      <c r="Y133" s="27">
        <v>33</v>
      </c>
      <c r="Z133" s="27">
        <v>34</v>
      </c>
      <c r="AA133" s="27">
        <v>35</v>
      </c>
      <c r="AB133" s="27">
        <v>36</v>
      </c>
      <c r="AC133" s="27">
        <v>37</v>
      </c>
      <c r="AD133" s="27">
        <v>38</v>
      </c>
      <c r="AE133" s="27">
        <v>39</v>
      </c>
      <c r="AF133" s="27">
        <v>40</v>
      </c>
      <c r="AG133" s="27">
        <v>41</v>
      </c>
      <c r="AH133" s="38"/>
    </row>
    <row r="134" spans="1:39" x14ac:dyDescent="0.35">
      <c r="A134" s="50"/>
      <c r="B134" s="28" t="s">
        <v>82</v>
      </c>
      <c r="C134" s="28" t="s">
        <v>90</v>
      </c>
      <c r="D134" s="29">
        <v>4.5359999999999996</v>
      </c>
      <c r="E134" s="29">
        <v>4.5355999999999996</v>
      </c>
      <c r="F134" s="29">
        <v>4.5250000000000004</v>
      </c>
      <c r="G134" s="29">
        <v>4.5388000000000002</v>
      </c>
      <c r="H134" s="29">
        <v>4.5391000000000004</v>
      </c>
      <c r="I134" s="29">
        <v>4.5839999999999996</v>
      </c>
      <c r="J134" s="29">
        <v>4.6052999999999997</v>
      </c>
      <c r="K134" s="29">
        <v>4.6197999999999997</v>
      </c>
      <c r="L134" s="29">
        <v>4.6901000000000002</v>
      </c>
      <c r="M134" s="29">
        <v>4.6853999999999996</v>
      </c>
      <c r="N134" s="29">
        <v>4.7009999999999996</v>
      </c>
      <c r="O134" s="29">
        <v>4.6665000000000001</v>
      </c>
      <c r="P134" s="29">
        <v>4.6645000000000003</v>
      </c>
      <c r="Q134" s="29">
        <v>4.6768000000000001</v>
      </c>
      <c r="R134" s="29">
        <v>4.6756000000000002</v>
      </c>
      <c r="S134" s="29">
        <v>4.6589999999999998</v>
      </c>
      <c r="T134" s="29">
        <v>4.6486000000000001</v>
      </c>
      <c r="U134" s="29">
        <v>4.6412000000000004</v>
      </c>
      <c r="V134" s="29">
        <v>4.6136999999999997</v>
      </c>
      <c r="W134" s="30">
        <v>4.5995999999999997</v>
      </c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49"/>
    </row>
    <row r="135" spans="1:39" x14ac:dyDescent="0.35">
      <c r="A135" s="50"/>
      <c r="B135" s="28" t="s">
        <v>15</v>
      </c>
      <c r="C135" s="28" t="s">
        <v>90</v>
      </c>
      <c r="D135" s="29">
        <v>4.5155696007399415</v>
      </c>
      <c r="E135" s="29">
        <v>4.5069754894404195</v>
      </c>
      <c r="F135" s="29">
        <v>4.4973022969014949</v>
      </c>
      <c r="G135" s="29">
        <v>4.4890164945275162</v>
      </c>
      <c r="H135" s="29">
        <v>4.4828503160166484</v>
      </c>
      <c r="I135" s="29">
        <v>4.4739093571758906</v>
      </c>
      <c r="J135" s="29">
        <v>4.4680514875905661</v>
      </c>
      <c r="K135" s="29">
        <v>4.4619238476953909</v>
      </c>
      <c r="L135" s="29">
        <v>4.4549098196392789</v>
      </c>
      <c r="M135" s="29">
        <v>4.4470864806536152</v>
      </c>
      <c r="N135" s="29">
        <v>4.4399568367504241</v>
      </c>
      <c r="O135" s="29">
        <v>4.4341375057807921</v>
      </c>
      <c r="P135" s="29">
        <v>4.4286264837367044</v>
      </c>
      <c r="Q135" s="29">
        <v>4.4253121627871126</v>
      </c>
      <c r="R135" s="29">
        <v>4.4192616001233231</v>
      </c>
      <c r="S135" s="29">
        <v>4.4177971327269923</v>
      </c>
      <c r="T135" s="29">
        <v>4.4126714968398337</v>
      </c>
      <c r="U135" s="29">
        <v>4.4100123323570219</v>
      </c>
      <c r="V135" s="29">
        <v>4.4055803915523351</v>
      </c>
      <c r="W135" s="30">
        <v>4.4054607676892301</v>
      </c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49"/>
    </row>
    <row r="136" spans="1:39" x14ac:dyDescent="0.35">
      <c r="A136" s="50"/>
      <c r="B136" s="28" t="s">
        <v>91</v>
      </c>
      <c r="C136" s="28" t="s">
        <v>90</v>
      </c>
      <c r="D136" s="29">
        <v>4.5471548684567402</v>
      </c>
      <c r="E136" s="29">
        <v>4.5368972064008695</v>
      </c>
      <c r="F136" s="29">
        <v>4.5277244372118259</v>
      </c>
      <c r="G136" s="29">
        <v>4.5174667751559534</v>
      </c>
      <c r="H136" s="29">
        <v>4.5072091131000809</v>
      </c>
      <c r="I136" s="29">
        <v>4.515304222041407</v>
      </c>
      <c r="J136" s="29">
        <v>4.5223144381159024</v>
      </c>
      <c r="K136" s="29">
        <v>4.5293246541903986</v>
      </c>
      <c r="L136" s="29">
        <v>4.537419763131723</v>
      </c>
      <c r="M136" s="29">
        <v>4.5444299792062202</v>
      </c>
      <c r="N136" s="29">
        <v>4.5514401952807164</v>
      </c>
      <c r="O136" s="29">
        <v>4.5595353042220417</v>
      </c>
      <c r="P136" s="29">
        <v>4.5665455202965379</v>
      </c>
      <c r="Q136" s="29">
        <v>4.5735557363710333</v>
      </c>
      <c r="R136" s="29">
        <v>4.5816508453123586</v>
      </c>
      <c r="S136" s="29">
        <v>4.5886610613868548</v>
      </c>
      <c r="T136" s="29">
        <v>4.5956712774613502</v>
      </c>
      <c r="U136" s="29">
        <v>4.6037663864026772</v>
      </c>
      <c r="V136" s="29">
        <v>4.6107766024771726</v>
      </c>
      <c r="W136" s="30">
        <v>4.6177868185516679</v>
      </c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49"/>
    </row>
    <row r="137" spans="1:39" x14ac:dyDescent="0.35">
      <c r="A137" s="50"/>
      <c r="B137" s="28" t="s">
        <v>92</v>
      </c>
      <c r="C137" s="28" t="s">
        <v>93</v>
      </c>
      <c r="D137" s="566">
        <v>87.66</v>
      </c>
      <c r="E137" s="566">
        <v>87.2</v>
      </c>
      <c r="F137" s="566">
        <v>86.3</v>
      </c>
      <c r="G137" s="566">
        <v>85.9</v>
      </c>
      <c r="H137" s="566">
        <v>85.4</v>
      </c>
      <c r="I137" s="566">
        <v>85.26</v>
      </c>
      <c r="J137" s="566">
        <v>85.08</v>
      </c>
      <c r="K137" s="566">
        <v>85.21</v>
      </c>
      <c r="L137" s="566">
        <v>85.24</v>
      </c>
      <c r="M137" s="566">
        <v>85.42</v>
      </c>
      <c r="N137" s="566">
        <v>85.37</v>
      </c>
      <c r="O137" s="566">
        <v>85.2</v>
      </c>
      <c r="P137" s="566">
        <v>84.88</v>
      </c>
      <c r="Q137" s="566">
        <v>84.67</v>
      </c>
      <c r="R137" s="566">
        <v>84.96</v>
      </c>
      <c r="S137" s="566">
        <v>84.88</v>
      </c>
      <c r="T137" s="566">
        <v>83.38</v>
      </c>
      <c r="U137" s="566">
        <v>83.31</v>
      </c>
      <c r="V137" s="566">
        <v>83.33</v>
      </c>
      <c r="W137" s="567">
        <v>83.26</v>
      </c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49"/>
    </row>
    <row r="138" spans="1:39" x14ac:dyDescent="0.35">
      <c r="A138" s="50"/>
      <c r="B138" s="28" t="s">
        <v>94</v>
      </c>
      <c r="C138" s="28" t="s">
        <v>93</v>
      </c>
      <c r="D138" s="29" t="s">
        <v>95</v>
      </c>
      <c r="E138" s="29" t="s">
        <v>95</v>
      </c>
      <c r="F138" s="29" t="s">
        <v>95</v>
      </c>
      <c r="G138" s="29" t="s">
        <v>95</v>
      </c>
      <c r="H138" s="29" t="s">
        <v>95</v>
      </c>
      <c r="I138" s="29" t="s">
        <v>95</v>
      </c>
      <c r="J138" s="29" t="s">
        <v>95</v>
      </c>
      <c r="K138" s="29" t="s">
        <v>95</v>
      </c>
      <c r="L138" s="29" t="s">
        <v>95</v>
      </c>
      <c r="M138" s="29" t="s">
        <v>95</v>
      </c>
      <c r="N138" s="29" t="s">
        <v>95</v>
      </c>
      <c r="O138" s="29" t="s">
        <v>95</v>
      </c>
      <c r="P138" s="29" t="s">
        <v>95</v>
      </c>
      <c r="Q138" s="29" t="s">
        <v>95</v>
      </c>
      <c r="R138" s="29" t="s">
        <v>95</v>
      </c>
      <c r="S138" s="29" t="s">
        <v>95</v>
      </c>
      <c r="T138" s="29" t="s">
        <v>95</v>
      </c>
      <c r="U138" s="29" t="s">
        <v>95</v>
      </c>
      <c r="V138" s="29" t="s">
        <v>95</v>
      </c>
      <c r="W138" s="30">
        <v>80</v>
      </c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49"/>
    </row>
    <row r="139" spans="1:39" x14ac:dyDescent="0.35">
      <c r="A139" s="50"/>
      <c r="B139" s="28" t="s">
        <v>96</v>
      </c>
      <c r="C139" s="28" t="s">
        <v>93</v>
      </c>
      <c r="D139" s="29" t="s">
        <v>95</v>
      </c>
      <c r="E139" s="29" t="s">
        <v>95</v>
      </c>
      <c r="F139" s="29" t="s">
        <v>95</v>
      </c>
      <c r="G139" s="29" t="s">
        <v>95</v>
      </c>
      <c r="H139" s="29" t="s">
        <v>95</v>
      </c>
      <c r="I139" s="29" t="s">
        <v>95</v>
      </c>
      <c r="J139" s="29" t="s">
        <v>95</v>
      </c>
      <c r="K139" s="29" t="s">
        <v>95</v>
      </c>
      <c r="L139" s="29" t="s">
        <v>95</v>
      </c>
      <c r="M139" s="29" t="s">
        <v>95</v>
      </c>
      <c r="N139" s="29" t="s">
        <v>95</v>
      </c>
      <c r="O139" s="29" t="s">
        <v>95</v>
      </c>
      <c r="P139" s="29" t="s">
        <v>95</v>
      </c>
      <c r="Q139" s="29" t="s">
        <v>95</v>
      </c>
      <c r="R139" s="29" t="s">
        <v>95</v>
      </c>
      <c r="S139" s="29" t="s">
        <v>95</v>
      </c>
      <c r="T139" s="29" t="s">
        <v>95</v>
      </c>
      <c r="U139" s="29" t="s">
        <v>95</v>
      </c>
      <c r="V139" s="29" t="s">
        <v>95</v>
      </c>
      <c r="W139" s="30">
        <v>87</v>
      </c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49"/>
    </row>
    <row r="140" spans="1:39" x14ac:dyDescent="0.35">
      <c r="A140" s="50"/>
      <c r="B140" s="28" t="s">
        <v>97</v>
      </c>
      <c r="C140" s="28" t="s">
        <v>93</v>
      </c>
      <c r="D140" s="29" t="s">
        <v>95</v>
      </c>
      <c r="E140" s="29" t="s">
        <v>95</v>
      </c>
      <c r="F140" s="29" t="s">
        <v>95</v>
      </c>
      <c r="G140" s="29" t="s">
        <v>95</v>
      </c>
      <c r="H140" s="29" t="s">
        <v>95</v>
      </c>
      <c r="I140" s="29" t="s">
        <v>95</v>
      </c>
      <c r="J140" s="29" t="s">
        <v>95</v>
      </c>
      <c r="K140" s="29" t="s">
        <v>95</v>
      </c>
      <c r="L140" s="29" t="s">
        <v>95</v>
      </c>
      <c r="M140" s="29" t="s">
        <v>95</v>
      </c>
      <c r="N140" s="29" t="s">
        <v>95</v>
      </c>
      <c r="O140" s="29" t="s">
        <v>95</v>
      </c>
      <c r="P140" s="29" t="s">
        <v>95</v>
      </c>
      <c r="Q140" s="29" t="s">
        <v>95</v>
      </c>
      <c r="R140" s="29" t="s">
        <v>95</v>
      </c>
      <c r="S140" s="29" t="s">
        <v>95</v>
      </c>
      <c r="T140" s="29" t="s">
        <v>95</v>
      </c>
      <c r="U140" s="29" t="s">
        <v>95</v>
      </c>
      <c r="V140" s="29" t="s">
        <v>95</v>
      </c>
      <c r="W140" s="30">
        <v>84</v>
      </c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49"/>
    </row>
    <row r="141" spans="1:39" x14ac:dyDescent="0.35">
      <c r="A141" s="50"/>
      <c r="B141" s="28" t="s">
        <v>98</v>
      </c>
      <c r="C141" s="28" t="s">
        <v>93</v>
      </c>
      <c r="D141" s="29" t="s">
        <v>95</v>
      </c>
      <c r="E141" s="29" t="s">
        <v>95</v>
      </c>
      <c r="F141" s="29" t="s">
        <v>95</v>
      </c>
      <c r="G141" s="29" t="s">
        <v>95</v>
      </c>
      <c r="H141" s="29" t="s">
        <v>95</v>
      </c>
      <c r="I141" s="29" t="s">
        <v>95</v>
      </c>
      <c r="J141" s="29" t="s">
        <v>95</v>
      </c>
      <c r="K141" s="29" t="s">
        <v>95</v>
      </c>
      <c r="L141" s="29" t="s">
        <v>95</v>
      </c>
      <c r="M141" s="29" t="s">
        <v>95</v>
      </c>
      <c r="N141" s="29" t="s">
        <v>95</v>
      </c>
      <c r="O141" s="29" t="s">
        <v>95</v>
      </c>
      <c r="P141" s="29" t="s">
        <v>95</v>
      </c>
      <c r="Q141" s="29" t="s">
        <v>95</v>
      </c>
      <c r="R141" s="29" t="s">
        <v>95</v>
      </c>
      <c r="S141" s="29" t="s">
        <v>95</v>
      </c>
      <c r="T141" s="29" t="s">
        <v>95</v>
      </c>
      <c r="U141" s="29" t="s">
        <v>95</v>
      </c>
      <c r="V141" s="29" t="s">
        <v>95</v>
      </c>
      <c r="W141" s="30">
        <v>86</v>
      </c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49"/>
    </row>
    <row r="142" spans="1:39" x14ac:dyDescent="0.35">
      <c r="A142" s="50"/>
      <c r="B142" s="28" t="s">
        <v>99</v>
      </c>
      <c r="C142" s="28" t="s">
        <v>93</v>
      </c>
      <c r="D142" s="566">
        <v>80.599999999999994</v>
      </c>
      <c r="E142" s="566">
        <v>80.099999999999994</v>
      </c>
      <c r="F142" s="566">
        <v>79.7</v>
      </c>
      <c r="G142" s="566">
        <v>78.5</v>
      </c>
      <c r="H142" s="566">
        <v>77.8</v>
      </c>
      <c r="I142" s="566">
        <v>80.282700000000006</v>
      </c>
      <c r="J142" s="566">
        <v>79.775499999999994</v>
      </c>
      <c r="K142" s="566">
        <v>79.893299999999996</v>
      </c>
      <c r="L142" s="566">
        <v>79.829800000000006</v>
      </c>
      <c r="M142" s="566">
        <v>79.953500000000005</v>
      </c>
      <c r="N142" s="566">
        <v>79.826800000000006</v>
      </c>
      <c r="O142" s="566">
        <v>80.464200000000005</v>
      </c>
      <c r="P142" s="566">
        <v>79.937299999999993</v>
      </c>
      <c r="Q142" s="566">
        <v>79.977599999999995</v>
      </c>
      <c r="R142" s="566">
        <v>80.751000000000005</v>
      </c>
      <c r="S142" s="566">
        <v>80.545100000000005</v>
      </c>
      <c r="T142" s="566">
        <v>79.992000000000004</v>
      </c>
      <c r="U142" s="566">
        <v>80.083500000000001</v>
      </c>
      <c r="V142" s="566">
        <v>80.477999999999994</v>
      </c>
      <c r="W142" s="567">
        <v>80.564400000000006</v>
      </c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49"/>
    </row>
    <row r="143" spans="1:39" x14ac:dyDescent="0.35">
      <c r="A143" s="50"/>
      <c r="B143" s="28" t="s">
        <v>100</v>
      </c>
      <c r="C143" s="28" t="s">
        <v>93</v>
      </c>
      <c r="D143" s="566">
        <v>86.049700000000001</v>
      </c>
      <c r="E143" s="566">
        <v>85.762299999999996</v>
      </c>
      <c r="F143" s="566">
        <v>85.903700000000001</v>
      </c>
      <c r="G143" s="566">
        <v>86.286500000000004</v>
      </c>
      <c r="H143" s="566">
        <v>85.91</v>
      </c>
      <c r="I143" s="566">
        <v>85.578299999999999</v>
      </c>
      <c r="J143" s="566">
        <v>85.471699999999998</v>
      </c>
      <c r="K143" s="566">
        <v>85.616799999999998</v>
      </c>
      <c r="L143" s="566">
        <v>85.200699999999998</v>
      </c>
      <c r="M143" s="566">
        <v>85.046999999999997</v>
      </c>
      <c r="N143" s="566">
        <v>84.739599999999996</v>
      </c>
      <c r="O143" s="566">
        <v>84.475099999999998</v>
      </c>
      <c r="P143" s="566">
        <v>84.964100000000002</v>
      </c>
      <c r="Q143" s="566">
        <v>84.221299999999999</v>
      </c>
      <c r="R143" s="566">
        <v>83.652000000000001</v>
      </c>
      <c r="S143" s="566">
        <v>84.070599999999999</v>
      </c>
      <c r="T143" s="566">
        <v>84.031999999999996</v>
      </c>
      <c r="U143" s="566">
        <v>82.906599999999997</v>
      </c>
      <c r="V143" s="566">
        <v>82.767600000000002</v>
      </c>
      <c r="W143" s="567">
        <v>82.363</v>
      </c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49"/>
    </row>
    <row r="144" spans="1:39" x14ac:dyDescent="0.35">
      <c r="A144" s="50"/>
      <c r="B144" s="28" t="s">
        <v>101</v>
      </c>
      <c r="C144" s="28" t="s">
        <v>93</v>
      </c>
      <c r="D144" s="29" t="s">
        <v>95</v>
      </c>
      <c r="E144" s="29" t="s">
        <v>95</v>
      </c>
      <c r="F144" s="29" t="s">
        <v>95</v>
      </c>
      <c r="G144" s="29" t="s">
        <v>95</v>
      </c>
      <c r="H144" s="29" t="s">
        <v>95</v>
      </c>
      <c r="I144" s="29" t="s">
        <v>95</v>
      </c>
      <c r="J144" s="29" t="s">
        <v>95</v>
      </c>
      <c r="K144" s="29" t="s">
        <v>95</v>
      </c>
      <c r="L144" s="29" t="s">
        <v>95</v>
      </c>
      <c r="M144" s="29" t="s">
        <v>95</v>
      </c>
      <c r="N144" s="29" t="s">
        <v>95</v>
      </c>
      <c r="O144" s="29" t="s">
        <v>95</v>
      </c>
      <c r="P144" s="29" t="s">
        <v>95</v>
      </c>
      <c r="Q144" s="29" t="s">
        <v>95</v>
      </c>
      <c r="R144" s="29" t="s">
        <v>95</v>
      </c>
      <c r="S144" s="29" t="s">
        <v>95</v>
      </c>
      <c r="T144" s="29" t="s">
        <v>95</v>
      </c>
      <c r="U144" s="29" t="s">
        <v>95</v>
      </c>
      <c r="V144" s="29" t="s">
        <v>95</v>
      </c>
      <c r="W144" s="30">
        <v>57</v>
      </c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49"/>
    </row>
    <row r="145" spans="1:34" x14ac:dyDescent="0.35">
      <c r="A145" s="50"/>
      <c r="B145" s="28" t="s">
        <v>102</v>
      </c>
      <c r="C145" s="28" t="s">
        <v>93</v>
      </c>
      <c r="D145" s="29" t="s">
        <v>95</v>
      </c>
      <c r="E145" s="29" t="s">
        <v>95</v>
      </c>
      <c r="F145" s="29" t="s">
        <v>95</v>
      </c>
      <c r="G145" s="29" t="s">
        <v>95</v>
      </c>
      <c r="H145" s="29" t="s">
        <v>95</v>
      </c>
      <c r="I145" s="29" t="s">
        <v>95</v>
      </c>
      <c r="J145" s="29" t="s">
        <v>95</v>
      </c>
      <c r="K145" s="29" t="s">
        <v>95</v>
      </c>
      <c r="L145" s="29" t="s">
        <v>95</v>
      </c>
      <c r="M145" s="29" t="s">
        <v>95</v>
      </c>
      <c r="N145" s="29" t="s">
        <v>95</v>
      </c>
      <c r="O145" s="29" t="s">
        <v>95</v>
      </c>
      <c r="P145" s="29" t="s">
        <v>95</v>
      </c>
      <c r="Q145" s="29" t="s">
        <v>95</v>
      </c>
      <c r="R145" s="29" t="s">
        <v>95</v>
      </c>
      <c r="S145" s="29" t="s">
        <v>95</v>
      </c>
      <c r="T145" s="29" t="s">
        <v>95</v>
      </c>
      <c r="U145" s="29" t="s">
        <v>95</v>
      </c>
      <c r="V145" s="29" t="s">
        <v>95</v>
      </c>
      <c r="W145" s="30">
        <v>68</v>
      </c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49"/>
    </row>
    <row r="146" spans="1:34" x14ac:dyDescent="0.35">
      <c r="A146" s="50"/>
      <c r="B146" s="28" t="s">
        <v>103</v>
      </c>
      <c r="C146" s="28" t="s">
        <v>90</v>
      </c>
      <c r="D146" s="568">
        <v>2.98</v>
      </c>
      <c r="E146" s="568">
        <v>2.99</v>
      </c>
      <c r="F146" s="568">
        <v>2.97</v>
      </c>
      <c r="G146" s="568">
        <v>2.95</v>
      </c>
      <c r="H146" s="568">
        <v>2.93</v>
      </c>
      <c r="I146" s="568">
        <v>2.95</v>
      </c>
      <c r="J146" s="568">
        <v>2.97</v>
      </c>
      <c r="K146" s="568">
        <v>3</v>
      </c>
      <c r="L146" s="568">
        <v>3.04</v>
      </c>
      <c r="M146" s="568">
        <v>3.08</v>
      </c>
      <c r="N146" s="568">
        <v>3.13</v>
      </c>
      <c r="O146" s="568">
        <v>3.19</v>
      </c>
      <c r="P146" s="568">
        <v>3.24</v>
      </c>
      <c r="Q146" s="568">
        <v>3.3</v>
      </c>
      <c r="R146" s="568">
        <v>3.36</v>
      </c>
      <c r="S146" s="568">
        <v>3.41</v>
      </c>
      <c r="T146" s="568">
        <v>3.47</v>
      </c>
      <c r="U146" s="568">
        <v>3.52</v>
      </c>
      <c r="V146" s="568">
        <v>3.57</v>
      </c>
      <c r="W146" s="569">
        <v>3.62</v>
      </c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49"/>
    </row>
    <row r="147" spans="1:34" x14ac:dyDescent="0.35">
      <c r="A147" s="50"/>
      <c r="B147" s="28" t="s">
        <v>104</v>
      </c>
      <c r="C147" s="28" t="s">
        <v>90</v>
      </c>
      <c r="D147" s="29" t="s">
        <v>95</v>
      </c>
      <c r="E147" s="29" t="s">
        <v>95</v>
      </c>
      <c r="F147" s="29" t="s">
        <v>95</v>
      </c>
      <c r="G147" s="29" t="s">
        <v>95</v>
      </c>
      <c r="H147" s="29" t="s">
        <v>95</v>
      </c>
      <c r="I147" s="29" t="s">
        <v>95</v>
      </c>
      <c r="J147" s="29" t="s">
        <v>95</v>
      </c>
      <c r="K147" s="29" t="s">
        <v>95</v>
      </c>
      <c r="L147" s="29" t="s">
        <v>95</v>
      </c>
      <c r="M147" s="29" t="s">
        <v>95</v>
      </c>
      <c r="N147" s="29" t="s">
        <v>95</v>
      </c>
      <c r="O147" s="29" t="s">
        <v>95</v>
      </c>
      <c r="P147" s="29" t="s">
        <v>95</v>
      </c>
      <c r="Q147" s="29" t="s">
        <v>95</v>
      </c>
      <c r="R147" s="29" t="s">
        <v>95</v>
      </c>
      <c r="S147" s="29" t="s">
        <v>95</v>
      </c>
      <c r="T147" s="29" t="s">
        <v>95</v>
      </c>
      <c r="U147" s="29" t="s">
        <v>95</v>
      </c>
      <c r="V147" s="29" t="s">
        <v>95</v>
      </c>
      <c r="W147" s="30">
        <v>2.85</v>
      </c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49"/>
    </row>
    <row r="148" spans="1:34" x14ac:dyDescent="0.35">
      <c r="A148" s="50"/>
      <c r="B148" s="28" t="s">
        <v>394</v>
      </c>
      <c r="C148" s="28" t="s">
        <v>90</v>
      </c>
      <c r="D148" s="568">
        <v>4</v>
      </c>
      <c r="E148" s="568">
        <v>3.88</v>
      </c>
      <c r="F148" s="568">
        <v>3.75</v>
      </c>
      <c r="G148" s="568">
        <v>3.65</v>
      </c>
      <c r="H148" s="568">
        <v>3.46</v>
      </c>
      <c r="I148" s="568">
        <v>3.2</v>
      </c>
      <c r="J148" s="568">
        <v>3.2</v>
      </c>
      <c r="K148" s="568">
        <v>3.09</v>
      </c>
      <c r="L148" s="568">
        <v>3.09</v>
      </c>
      <c r="M148" s="568">
        <v>3.09</v>
      </c>
      <c r="N148" s="568">
        <v>3.08</v>
      </c>
      <c r="O148" s="568">
        <v>3.08</v>
      </c>
      <c r="P148" s="568">
        <v>3.08</v>
      </c>
      <c r="Q148" s="568">
        <v>3.08</v>
      </c>
      <c r="R148" s="568">
        <v>3.08</v>
      </c>
      <c r="S148" s="568">
        <v>3.08</v>
      </c>
      <c r="T148" s="568">
        <v>3.08</v>
      </c>
      <c r="U148" s="568">
        <v>3.08</v>
      </c>
      <c r="V148" s="568">
        <v>3.08</v>
      </c>
      <c r="W148" s="569">
        <v>3.08</v>
      </c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49"/>
    </row>
    <row r="149" spans="1:34" x14ac:dyDescent="0.35">
      <c r="A149" s="50"/>
      <c r="B149" s="28" t="s">
        <v>393</v>
      </c>
      <c r="C149" s="28" t="s">
        <v>90</v>
      </c>
      <c r="D149" s="568">
        <v>3.53</v>
      </c>
      <c r="E149" s="568">
        <v>3.45</v>
      </c>
      <c r="F149" s="568">
        <v>3.32</v>
      </c>
      <c r="G149" s="568">
        <v>3.19</v>
      </c>
      <c r="H149" s="568">
        <v>3.04</v>
      </c>
      <c r="I149" s="568">
        <v>3.02</v>
      </c>
      <c r="J149" s="568">
        <v>3.02</v>
      </c>
      <c r="K149" s="568">
        <v>3.05</v>
      </c>
      <c r="L149" s="568">
        <v>3.07</v>
      </c>
      <c r="M149" s="568">
        <v>3.08</v>
      </c>
      <c r="N149" s="568">
        <v>3.08</v>
      </c>
      <c r="O149" s="568">
        <v>3.08</v>
      </c>
      <c r="P149" s="568">
        <v>3.08</v>
      </c>
      <c r="Q149" s="568">
        <v>3.08</v>
      </c>
      <c r="R149" s="568">
        <v>3.08</v>
      </c>
      <c r="S149" s="568">
        <v>3.08</v>
      </c>
      <c r="T149" s="568">
        <v>3.08</v>
      </c>
      <c r="U149" s="568">
        <v>3.08</v>
      </c>
      <c r="V149" s="568">
        <v>3.08</v>
      </c>
      <c r="W149" s="569">
        <v>3.08</v>
      </c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49"/>
    </row>
    <row r="150" spans="1:34" x14ac:dyDescent="0.35">
      <c r="A150" s="50"/>
      <c r="B150" s="28" t="s">
        <v>105</v>
      </c>
      <c r="C150" s="28" t="s">
        <v>90</v>
      </c>
      <c r="D150" s="568">
        <v>3.65</v>
      </c>
      <c r="E150" s="568">
        <v>3.57</v>
      </c>
      <c r="F150" s="568">
        <v>3.49</v>
      </c>
      <c r="G150" s="568">
        <v>3.41</v>
      </c>
      <c r="H150" s="568">
        <v>3.34</v>
      </c>
      <c r="I150" s="568">
        <v>3.27</v>
      </c>
      <c r="J150" s="568">
        <v>3.2</v>
      </c>
      <c r="K150" s="568">
        <v>3.13</v>
      </c>
      <c r="L150" s="568">
        <v>3.07</v>
      </c>
      <c r="M150" s="568">
        <v>3.01</v>
      </c>
      <c r="N150" s="568">
        <v>2.95</v>
      </c>
      <c r="O150" s="568">
        <v>2.89</v>
      </c>
      <c r="P150" s="568">
        <v>2.84</v>
      </c>
      <c r="Q150" s="568">
        <v>2.8</v>
      </c>
      <c r="R150" s="568">
        <v>2.75</v>
      </c>
      <c r="S150" s="568">
        <v>2.71</v>
      </c>
      <c r="T150" s="568">
        <v>2.68</v>
      </c>
      <c r="U150" s="568">
        <v>2.64</v>
      </c>
      <c r="V150" s="568">
        <v>2.61</v>
      </c>
      <c r="W150" s="569">
        <v>2.59</v>
      </c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49"/>
    </row>
    <row r="151" spans="1:34" x14ac:dyDescent="0.35">
      <c r="A151" s="50"/>
      <c r="B151" s="28" t="s">
        <v>395</v>
      </c>
      <c r="C151" s="28" t="s">
        <v>90</v>
      </c>
      <c r="D151" s="568">
        <v>3.92</v>
      </c>
      <c r="E151" s="568">
        <v>3.94</v>
      </c>
      <c r="F151" s="568">
        <v>3.89</v>
      </c>
      <c r="G151" s="568">
        <v>3.84</v>
      </c>
      <c r="H151" s="568">
        <v>3.79</v>
      </c>
      <c r="I151" s="568">
        <v>3.7</v>
      </c>
      <c r="J151" s="568">
        <v>3.61</v>
      </c>
      <c r="K151" s="568">
        <v>3.51</v>
      </c>
      <c r="L151" s="568">
        <v>3.43</v>
      </c>
      <c r="M151" s="568">
        <v>3.34</v>
      </c>
      <c r="N151" s="568">
        <v>3.27</v>
      </c>
      <c r="O151" s="568">
        <v>3.18</v>
      </c>
      <c r="P151" s="568">
        <v>3.1</v>
      </c>
      <c r="Q151" s="568">
        <v>3.03</v>
      </c>
      <c r="R151" s="568">
        <v>2.96</v>
      </c>
      <c r="S151" s="568">
        <v>2.89</v>
      </c>
      <c r="T151" s="568">
        <v>2.83</v>
      </c>
      <c r="U151" s="568">
        <v>2.76</v>
      </c>
      <c r="V151" s="568">
        <v>2.7</v>
      </c>
      <c r="W151" s="569">
        <v>2.64</v>
      </c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49"/>
    </row>
    <row r="152" spans="1:34" x14ac:dyDescent="0.35">
      <c r="A152" s="50"/>
      <c r="B152" s="28" t="s">
        <v>396</v>
      </c>
      <c r="C152" s="28" t="s">
        <v>90</v>
      </c>
      <c r="D152" s="29" t="s">
        <v>95</v>
      </c>
      <c r="E152" s="29" t="s">
        <v>95</v>
      </c>
      <c r="F152" s="29" t="s">
        <v>95</v>
      </c>
      <c r="G152" s="29" t="s">
        <v>95</v>
      </c>
      <c r="H152" s="29" t="s">
        <v>95</v>
      </c>
      <c r="I152" s="29" t="s">
        <v>95</v>
      </c>
      <c r="J152" s="29" t="s">
        <v>95</v>
      </c>
      <c r="K152" s="29" t="s">
        <v>95</v>
      </c>
      <c r="L152" s="29" t="s">
        <v>95</v>
      </c>
      <c r="M152" s="29" t="s">
        <v>95</v>
      </c>
      <c r="N152" s="29" t="s">
        <v>95</v>
      </c>
      <c r="O152" s="29" t="s">
        <v>95</v>
      </c>
      <c r="P152" s="29" t="s">
        <v>95</v>
      </c>
      <c r="Q152" s="29" t="s">
        <v>95</v>
      </c>
      <c r="R152" s="29" t="s">
        <v>95</v>
      </c>
      <c r="S152" s="29" t="s">
        <v>95</v>
      </c>
      <c r="T152" s="29" t="s">
        <v>95</v>
      </c>
      <c r="U152" s="29" t="s">
        <v>95</v>
      </c>
      <c r="V152" s="29" t="s">
        <v>95</v>
      </c>
      <c r="W152" s="30">
        <v>2.5</v>
      </c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49"/>
    </row>
    <row r="153" spans="1:34" x14ac:dyDescent="0.35">
      <c r="A153" s="50"/>
      <c r="B153" s="28" t="s">
        <v>106</v>
      </c>
      <c r="C153" s="28" t="s">
        <v>90</v>
      </c>
      <c r="D153" s="570">
        <v>2.63</v>
      </c>
      <c r="E153" s="570">
        <v>2.62</v>
      </c>
      <c r="F153" s="570">
        <v>2.61</v>
      </c>
      <c r="G153" s="570">
        <v>2.59</v>
      </c>
      <c r="H153" s="570">
        <v>2.58</v>
      </c>
      <c r="I153" s="570">
        <v>2.67</v>
      </c>
      <c r="J153" s="570">
        <v>2.8</v>
      </c>
      <c r="K153" s="570">
        <v>2.92</v>
      </c>
      <c r="L153" s="570">
        <v>3.03</v>
      </c>
      <c r="M153" s="570">
        <v>3.12</v>
      </c>
      <c r="N153" s="570">
        <v>3.23</v>
      </c>
      <c r="O153" s="570">
        <v>3.31</v>
      </c>
      <c r="P153" s="570">
        <v>3.17</v>
      </c>
      <c r="Q153" s="570">
        <v>3.45</v>
      </c>
      <c r="R153" s="570">
        <v>3.51</v>
      </c>
      <c r="S153" s="570">
        <v>3.56</v>
      </c>
      <c r="T153" s="570">
        <v>3.6</v>
      </c>
      <c r="U153" s="570">
        <v>3.63</v>
      </c>
      <c r="V153" s="570">
        <v>3.66</v>
      </c>
      <c r="W153" s="571">
        <v>3.69</v>
      </c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49"/>
    </row>
    <row r="154" spans="1:34" x14ac:dyDescent="0.35">
      <c r="A154" s="50"/>
      <c r="B154" s="28" t="s">
        <v>62</v>
      </c>
      <c r="C154" s="28" t="s">
        <v>90</v>
      </c>
      <c r="D154" s="29">
        <v>2.85</v>
      </c>
      <c r="E154" s="29">
        <v>2.85</v>
      </c>
      <c r="F154" s="29">
        <v>2.85</v>
      </c>
      <c r="G154" s="29">
        <v>2.81</v>
      </c>
      <c r="H154" s="29">
        <v>2.81</v>
      </c>
      <c r="I154" s="29">
        <v>2.85</v>
      </c>
      <c r="J154" s="29">
        <v>2.85</v>
      </c>
      <c r="K154" s="29">
        <v>2.85</v>
      </c>
      <c r="L154" s="29">
        <v>2.85</v>
      </c>
      <c r="M154" s="29">
        <v>2.81</v>
      </c>
      <c r="N154" s="29">
        <v>2.81</v>
      </c>
      <c r="O154" s="29">
        <v>2.85</v>
      </c>
      <c r="P154" s="29">
        <v>2.85</v>
      </c>
      <c r="Q154" s="29">
        <v>2.85</v>
      </c>
      <c r="R154" s="29">
        <v>2.85</v>
      </c>
      <c r="S154" s="29">
        <v>2.81</v>
      </c>
      <c r="T154" s="29">
        <v>2.81</v>
      </c>
      <c r="U154" s="29">
        <v>2.85</v>
      </c>
      <c r="V154" s="29">
        <v>2.85</v>
      </c>
      <c r="W154" s="30">
        <v>2.85</v>
      </c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49"/>
    </row>
    <row r="155" spans="1:34" x14ac:dyDescent="0.35">
      <c r="A155" s="25"/>
      <c r="B155" s="25"/>
      <c r="C155" s="25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</row>
    <row r="156" spans="1:34" x14ac:dyDescent="0.35">
      <c r="A156" s="25"/>
      <c r="B156" s="26" t="s">
        <v>107</v>
      </c>
      <c r="C156" s="25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</row>
    <row r="157" spans="1:34" x14ac:dyDescent="0.35">
      <c r="A157" s="25"/>
      <c r="B157" s="33" t="s">
        <v>108</v>
      </c>
      <c r="C157" s="34">
        <f>SUM(H129:V129)</f>
        <v>907043.14403593121</v>
      </c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</row>
    <row r="158" spans="1:34" x14ac:dyDescent="0.35">
      <c r="A158" s="25"/>
      <c r="B158" s="33" t="s">
        <v>109</v>
      </c>
      <c r="C158" s="34">
        <f>C157/15</f>
        <v>60469.54293572875</v>
      </c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</row>
    <row r="159" spans="1:34" x14ac:dyDescent="0.35">
      <c r="A159" s="25"/>
      <c r="B159" s="33" t="s">
        <v>110</v>
      </c>
      <c r="C159" s="34">
        <f>AVERAGE(W129:AG129)</f>
        <v>53913.135884664443</v>
      </c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</row>
    <row r="160" spans="1:34" x14ac:dyDescent="0.35">
      <c r="A160" s="25"/>
      <c r="B160" s="33" t="s">
        <v>111</v>
      </c>
      <c r="C160" s="34">
        <f>1.25*C158</f>
        <v>75586.928669660934</v>
      </c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</row>
    <row r="161" spans="1:34" x14ac:dyDescent="0.35">
      <c r="A161" s="25"/>
      <c r="B161" s="33" t="s">
        <v>112</v>
      </c>
      <c r="C161" s="34">
        <f>MAX(W129:AG129)</f>
        <v>69996.462939729376</v>
      </c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</row>
    <row r="162" spans="1:34" x14ac:dyDescent="0.35">
      <c r="A162" s="25"/>
      <c r="B162" s="25"/>
      <c r="C162" s="25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</row>
    <row r="163" spans="1:34" x14ac:dyDescent="0.35">
      <c r="A163" s="25"/>
      <c r="B163" s="26" t="s">
        <v>113</v>
      </c>
      <c r="C163" s="25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</row>
    <row r="164" spans="1:34" x14ac:dyDescent="0.35">
      <c r="A164" s="25"/>
      <c r="B164" s="33" t="s">
        <v>114</v>
      </c>
      <c r="C164" s="36">
        <f>AVERAGE(I122:W122)</f>
        <v>35</v>
      </c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</row>
    <row r="165" spans="1:34" x14ac:dyDescent="0.35">
      <c r="A165" s="25"/>
      <c r="B165" s="33" t="s">
        <v>115</v>
      </c>
      <c r="C165" s="36">
        <f>AVERAGE(X122:AF122)</f>
        <v>35</v>
      </c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</row>
    <row r="166" spans="1:34" x14ac:dyDescent="0.35">
      <c r="A166" s="25"/>
      <c r="B166" s="33" t="s">
        <v>116</v>
      </c>
      <c r="C166" s="36">
        <f>1.25*C164</f>
        <v>43.75</v>
      </c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</row>
    <row r="167" spans="1:34" x14ac:dyDescent="0.35">
      <c r="A167" s="25"/>
      <c r="B167" s="33" t="s">
        <v>117</v>
      </c>
      <c r="C167" s="36">
        <f>MAX(X122:AF122)</f>
        <v>35</v>
      </c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</row>
    <row r="168" spans="1:34" x14ac:dyDescent="0.35">
      <c r="A168" s="25"/>
      <c r="B168" s="25"/>
      <c r="C168" s="2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</row>
    <row r="169" spans="1:34" x14ac:dyDescent="0.35">
      <c r="B169" t="s">
        <v>123</v>
      </c>
    </row>
    <row r="170" spans="1:34" x14ac:dyDescent="0.35">
      <c r="B170" t="s">
        <v>124</v>
      </c>
    </row>
    <row r="171" spans="1:34" x14ac:dyDescent="0.35">
      <c r="B171" t="s">
        <v>125</v>
      </c>
    </row>
    <row r="172" spans="1:34" x14ac:dyDescent="0.35">
      <c r="B172" t="s">
        <v>126</v>
      </c>
    </row>
  </sheetData>
  <mergeCells count="1">
    <mergeCell ref="M1:R1"/>
  </mergeCells>
  <conditionalFormatting sqref="D89:AE121 AH25:AH34 AH89:AH121 D79:V88 D44:G47 AH48:AH66 D48:AF66 D67:U78 D5:V24 AG44:AH47 D26:G34 W5:AH16 X25:AF47 D25:W25 H26:W47">
    <cfRule type="cellIs" dxfId="47" priority="88" stopIfTrue="1" operator="equal">
      <formula>0</formula>
    </cfRule>
  </conditionalFormatting>
  <conditionalFormatting sqref="AH67:AH78">
    <cfRule type="cellIs" dxfId="46" priority="87" stopIfTrue="1" operator="equal">
      <formula>0</formula>
    </cfRule>
  </conditionalFormatting>
  <conditionalFormatting sqref="Y17:AE19 AH17:AH19">
    <cfRule type="cellIs" dxfId="45" priority="86" stopIfTrue="1" operator="equal">
      <formula>0</formula>
    </cfRule>
  </conditionalFormatting>
  <conditionalFormatting sqref="Y20:AE24 AH20:AH24">
    <cfRule type="cellIs" dxfId="44" priority="85" stopIfTrue="1" operator="equal">
      <formula>0</formula>
    </cfRule>
  </conditionalFormatting>
  <conditionalFormatting sqref="Y79:AE84 AH79:AH84">
    <cfRule type="cellIs" dxfId="43" priority="83" stopIfTrue="1" operator="equal">
      <formula>0</formula>
    </cfRule>
  </conditionalFormatting>
  <conditionalFormatting sqref="W17:W19">
    <cfRule type="cellIs" dxfId="42" priority="80" stopIfTrue="1" operator="equal">
      <formula>0</formula>
    </cfRule>
  </conditionalFormatting>
  <conditionalFormatting sqref="X17:X19">
    <cfRule type="cellIs" dxfId="41" priority="74" stopIfTrue="1" operator="equal">
      <formula>0</formula>
    </cfRule>
  </conditionalFormatting>
  <conditionalFormatting sqref="X20:X24">
    <cfRule type="cellIs" dxfId="40" priority="73" stopIfTrue="1" operator="equal">
      <formula>0</formula>
    </cfRule>
  </conditionalFormatting>
  <conditionalFormatting sqref="X79:X88 Y85:AE88 AH85:AH88">
    <cfRule type="cellIs" dxfId="39" priority="71" stopIfTrue="1" operator="equal">
      <formula>0</formula>
    </cfRule>
  </conditionalFormatting>
  <conditionalFormatting sqref="W20:W24">
    <cfRule type="cellIs" dxfId="38" priority="79" stopIfTrue="1" operator="equal">
      <formula>0</formula>
    </cfRule>
  </conditionalFormatting>
  <conditionalFormatting sqref="W79:W88">
    <cfRule type="cellIs" dxfId="37" priority="77" stopIfTrue="1" operator="equal">
      <formula>0</formula>
    </cfRule>
  </conditionalFormatting>
  <conditionalFormatting sqref="AF89:AF121">
    <cfRule type="cellIs" dxfId="36" priority="38" stopIfTrue="1" operator="equal">
      <formula>0</formula>
    </cfRule>
  </conditionalFormatting>
  <conditionalFormatting sqref="AF17:AF19">
    <cfRule type="cellIs" dxfId="35" priority="36" stopIfTrue="1" operator="equal">
      <formula>0</formula>
    </cfRule>
  </conditionalFormatting>
  <conditionalFormatting sqref="AF20:AF24">
    <cfRule type="cellIs" dxfId="34" priority="35" stopIfTrue="1" operator="equal">
      <formula>0</formula>
    </cfRule>
  </conditionalFormatting>
  <conditionalFormatting sqref="AF79:AF84">
    <cfRule type="cellIs" dxfId="33" priority="33" stopIfTrue="1" operator="equal">
      <formula>0</formula>
    </cfRule>
  </conditionalFormatting>
  <conditionalFormatting sqref="AF85:AF88">
    <cfRule type="cellIs" dxfId="32" priority="32" stopIfTrue="1" operator="equal">
      <formula>0</formula>
    </cfRule>
  </conditionalFormatting>
  <conditionalFormatting sqref="AG89:AG121 AG25:AG34">
    <cfRule type="cellIs" dxfId="31" priority="47" stopIfTrue="1" operator="equal">
      <formula>0</formula>
    </cfRule>
  </conditionalFormatting>
  <conditionalFormatting sqref="AG17:AG19">
    <cfRule type="cellIs" dxfId="30" priority="45" stopIfTrue="1" operator="equal">
      <formula>0</formula>
    </cfRule>
  </conditionalFormatting>
  <conditionalFormatting sqref="AG20:AG24">
    <cfRule type="cellIs" dxfId="29" priority="44" stopIfTrue="1" operator="equal">
      <formula>0</formula>
    </cfRule>
  </conditionalFormatting>
  <conditionalFormatting sqref="AG79:AG84">
    <cfRule type="cellIs" dxfId="28" priority="42" stopIfTrue="1" operator="equal">
      <formula>0</formula>
    </cfRule>
  </conditionalFormatting>
  <conditionalFormatting sqref="AG85:AG88">
    <cfRule type="cellIs" dxfId="27" priority="41" stopIfTrue="1" operator="equal">
      <formula>0</formula>
    </cfRule>
  </conditionalFormatting>
  <conditionalFormatting sqref="X67:AD78">
    <cfRule type="cellIs" dxfId="26" priority="29" stopIfTrue="1" operator="equal">
      <formula>0</formula>
    </cfRule>
  </conditionalFormatting>
  <conditionalFormatting sqref="V67:V78">
    <cfRule type="cellIs" dxfId="25" priority="28" stopIfTrue="1" operator="equal">
      <formula>0</formula>
    </cfRule>
  </conditionalFormatting>
  <conditionalFormatting sqref="W67:W78">
    <cfRule type="cellIs" dxfId="24" priority="27" stopIfTrue="1" operator="equal">
      <formula>0</formula>
    </cfRule>
  </conditionalFormatting>
  <conditionalFormatting sqref="AE67:AE78">
    <cfRule type="cellIs" dxfId="23" priority="25" stopIfTrue="1" operator="equal">
      <formula>0</formula>
    </cfRule>
  </conditionalFormatting>
  <conditionalFormatting sqref="AF67:AF78">
    <cfRule type="cellIs" dxfId="22" priority="26" stopIfTrue="1" operator="equal">
      <formula>0</formula>
    </cfRule>
  </conditionalFormatting>
  <conditionalFormatting sqref="AH35:AH43 D35:G43">
    <cfRule type="cellIs" dxfId="21" priority="24" stopIfTrue="1" operator="equal">
      <formula>0</formula>
    </cfRule>
  </conditionalFormatting>
  <conditionalFormatting sqref="AG35:AG43">
    <cfRule type="cellIs" dxfId="20" priority="23" stopIfTrue="1" operator="equal">
      <formula>0</formula>
    </cfRule>
  </conditionalFormatting>
  <conditionalFormatting sqref="AG76">
    <cfRule type="cellIs" dxfId="19" priority="3" stopIfTrue="1" operator="equal">
      <formula>0</formula>
    </cfRule>
  </conditionalFormatting>
  <conditionalFormatting sqref="AG48">
    <cfRule type="cellIs" dxfId="18" priority="20" stopIfTrue="1" operator="equal">
      <formula>0</formula>
    </cfRule>
  </conditionalFormatting>
  <conditionalFormatting sqref="AG49">
    <cfRule type="cellIs" dxfId="17" priority="19" stopIfTrue="1" operator="equal">
      <formula>0</formula>
    </cfRule>
  </conditionalFormatting>
  <conditionalFormatting sqref="AG60:AG63">
    <cfRule type="cellIs" dxfId="16" priority="18" stopIfTrue="1" operator="equal">
      <formula>0</formula>
    </cfRule>
  </conditionalFormatting>
  <conditionalFormatting sqref="AG50">
    <cfRule type="cellIs" dxfId="15" priority="17" stopIfTrue="1" operator="equal">
      <formula>0</formula>
    </cfRule>
  </conditionalFormatting>
  <conditionalFormatting sqref="AG51:AG59">
    <cfRule type="cellIs" dxfId="14" priority="16" stopIfTrue="1" operator="equal">
      <formula>0</formula>
    </cfRule>
  </conditionalFormatting>
  <conditionalFormatting sqref="AG64">
    <cfRule type="cellIs" dxfId="13" priority="15" stopIfTrue="1" operator="equal">
      <formula>0</formula>
    </cfRule>
  </conditionalFormatting>
  <conditionalFormatting sqref="AG65">
    <cfRule type="cellIs" dxfId="12" priority="14" stopIfTrue="1" operator="equal">
      <formula>0</formula>
    </cfRule>
  </conditionalFormatting>
  <conditionalFormatting sqref="AG66">
    <cfRule type="cellIs" dxfId="11" priority="13" stopIfTrue="1" operator="equal">
      <formula>0</formula>
    </cfRule>
  </conditionalFormatting>
  <conditionalFormatting sqref="AG67">
    <cfRule type="cellIs" dxfId="10" priority="12" stopIfTrue="1" operator="equal">
      <formula>0</formula>
    </cfRule>
  </conditionalFormatting>
  <conditionalFormatting sqref="AG78">
    <cfRule type="cellIs" dxfId="9" priority="1" stopIfTrue="1" operator="equal">
      <formula>0</formula>
    </cfRule>
  </conditionalFormatting>
  <conditionalFormatting sqref="AG68">
    <cfRule type="cellIs" dxfId="8" priority="11" stopIfTrue="1" operator="equal">
      <formula>0</formula>
    </cfRule>
  </conditionalFormatting>
  <conditionalFormatting sqref="AG69">
    <cfRule type="cellIs" dxfId="7" priority="10" stopIfTrue="1" operator="equal">
      <formula>0</formula>
    </cfRule>
  </conditionalFormatting>
  <conditionalFormatting sqref="AG70">
    <cfRule type="cellIs" dxfId="6" priority="9" stopIfTrue="1" operator="equal">
      <formula>0</formula>
    </cfRule>
  </conditionalFormatting>
  <conditionalFormatting sqref="AG71">
    <cfRule type="cellIs" dxfId="5" priority="8" stopIfTrue="1" operator="equal">
      <formula>0</formula>
    </cfRule>
  </conditionalFormatting>
  <conditionalFormatting sqref="AG72">
    <cfRule type="cellIs" dxfId="4" priority="7" stopIfTrue="1" operator="equal">
      <formula>0</formula>
    </cfRule>
  </conditionalFormatting>
  <conditionalFormatting sqref="AG73">
    <cfRule type="cellIs" dxfId="3" priority="6" stopIfTrue="1" operator="equal">
      <formula>0</formula>
    </cfRule>
  </conditionalFormatting>
  <conditionalFormatting sqref="AG74">
    <cfRule type="cellIs" dxfId="2" priority="5" stopIfTrue="1" operator="equal">
      <formula>0</formula>
    </cfRule>
  </conditionalFormatting>
  <conditionalFormatting sqref="AG75">
    <cfRule type="cellIs" dxfId="1" priority="4" stopIfTrue="1" operator="equal">
      <formula>0</formula>
    </cfRule>
  </conditionalFormatting>
  <conditionalFormatting sqref="AG77">
    <cfRule type="cellIs" dxfId="0" priority="2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scale="37" fitToHeight="0" orientation="landscape" r:id="rId1"/>
  <headerFooter>
    <oddHeader>&amp;L&amp;16M25 Area 5 DBFO&amp;R&amp;16 30 Year Rolling Asset Management Plan</oddHeader>
    <oddFooter>&amp;L&amp;16AMFP 2019-20&amp;C&amp;16Page &amp;P of &amp;N&amp;R&amp;16&amp;D</oddFooter>
  </headerFooter>
  <rowBreaks count="1" manualBreakCount="1">
    <brk id="131" max="3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BD79C-EB49-4C3E-A1A0-1075AAB1022A}">
  <dimension ref="A1:AF126"/>
  <sheetViews>
    <sheetView tabSelected="1" zoomScale="80" zoomScaleNormal="80" workbookViewId="0">
      <selection activeCell="H88" sqref="H88"/>
    </sheetView>
  </sheetViews>
  <sheetFormatPr defaultRowHeight="12.5" x14ac:dyDescent="0.25"/>
  <cols>
    <col min="1" max="1" width="22.81640625" style="63" customWidth="1"/>
    <col min="2" max="31" width="17.6328125" style="63" customWidth="1"/>
    <col min="32" max="32" width="14.26953125" style="63" bestFit="1" customWidth="1"/>
    <col min="33" max="16384" width="8.7265625" style="63"/>
  </cols>
  <sheetData>
    <row r="1" spans="1:31" ht="13.5" thickBot="1" x14ac:dyDescent="0.35">
      <c r="A1" s="336" t="s">
        <v>190</v>
      </c>
      <c r="B1" s="73">
        <v>43922</v>
      </c>
      <c r="C1" s="64">
        <v>44287</v>
      </c>
      <c r="D1" s="64">
        <v>44652</v>
      </c>
      <c r="E1" s="64">
        <v>45017</v>
      </c>
      <c r="F1" s="64">
        <v>45383</v>
      </c>
      <c r="G1" s="64">
        <v>45748</v>
      </c>
      <c r="H1" s="64">
        <v>46113</v>
      </c>
      <c r="I1" s="64">
        <v>46478</v>
      </c>
      <c r="J1" s="64">
        <v>46844</v>
      </c>
      <c r="K1" s="64">
        <v>47209</v>
      </c>
      <c r="L1" s="64">
        <v>47574</v>
      </c>
      <c r="M1" s="64">
        <v>47939</v>
      </c>
      <c r="N1" s="64">
        <v>48305</v>
      </c>
      <c r="O1" s="64">
        <v>48670</v>
      </c>
      <c r="P1" s="64">
        <v>49035</v>
      </c>
      <c r="Q1" s="64">
        <v>49400</v>
      </c>
      <c r="R1" s="64">
        <v>49766</v>
      </c>
      <c r="S1" s="64">
        <v>50131</v>
      </c>
      <c r="T1" s="64">
        <v>50496</v>
      </c>
      <c r="U1" s="74">
        <v>50861</v>
      </c>
      <c r="V1" s="73">
        <v>51227</v>
      </c>
      <c r="W1" s="64">
        <v>51592</v>
      </c>
      <c r="X1" s="64">
        <v>51957</v>
      </c>
      <c r="Y1" s="64">
        <v>52322</v>
      </c>
      <c r="Z1" s="64">
        <v>52688</v>
      </c>
      <c r="AA1" s="64">
        <v>53053</v>
      </c>
      <c r="AB1" s="64">
        <v>53418</v>
      </c>
      <c r="AC1" s="64">
        <v>53783</v>
      </c>
      <c r="AD1" s="64">
        <v>54149</v>
      </c>
      <c r="AE1" s="74">
        <v>54514</v>
      </c>
    </row>
    <row r="2" spans="1:31" ht="13.5" thickBot="1" x14ac:dyDescent="0.35">
      <c r="A2" s="337" t="s">
        <v>353</v>
      </c>
      <c r="B2" s="73">
        <v>44286</v>
      </c>
      <c r="C2" s="64">
        <v>44651</v>
      </c>
      <c r="D2" s="64">
        <v>45016</v>
      </c>
      <c r="E2" s="64">
        <v>45382</v>
      </c>
      <c r="F2" s="64">
        <v>45747</v>
      </c>
      <c r="G2" s="64">
        <v>46112</v>
      </c>
      <c r="H2" s="64">
        <v>46477</v>
      </c>
      <c r="I2" s="64">
        <v>46843</v>
      </c>
      <c r="J2" s="64">
        <v>47208</v>
      </c>
      <c r="K2" s="64">
        <v>47573</v>
      </c>
      <c r="L2" s="64">
        <v>47938</v>
      </c>
      <c r="M2" s="64">
        <v>48304</v>
      </c>
      <c r="N2" s="64">
        <v>48669</v>
      </c>
      <c r="O2" s="64">
        <v>49034</v>
      </c>
      <c r="P2" s="64">
        <v>49399</v>
      </c>
      <c r="Q2" s="64">
        <v>49765</v>
      </c>
      <c r="R2" s="64">
        <v>50130</v>
      </c>
      <c r="S2" s="64">
        <v>50495</v>
      </c>
      <c r="T2" s="64">
        <v>50860</v>
      </c>
      <c r="U2" s="74">
        <v>51226</v>
      </c>
      <c r="V2" s="73">
        <v>51591</v>
      </c>
      <c r="W2" s="64">
        <v>51956</v>
      </c>
      <c r="X2" s="64">
        <v>52321</v>
      </c>
      <c r="Y2" s="64">
        <v>52687</v>
      </c>
      <c r="Z2" s="64">
        <v>53052</v>
      </c>
      <c r="AA2" s="64">
        <v>53417</v>
      </c>
      <c r="AB2" s="64">
        <v>53782</v>
      </c>
      <c r="AC2" s="64">
        <v>54148</v>
      </c>
      <c r="AD2" s="64">
        <v>54513</v>
      </c>
      <c r="AE2" s="74">
        <v>54878</v>
      </c>
    </row>
    <row r="3" spans="1:31" ht="13.5" thickBot="1" x14ac:dyDescent="0.35">
      <c r="A3" s="338" t="s">
        <v>192</v>
      </c>
      <c r="B3" s="75">
        <v>2020</v>
      </c>
      <c r="C3" s="68">
        <v>2021</v>
      </c>
      <c r="D3" s="75">
        <v>2022</v>
      </c>
      <c r="E3" s="68">
        <v>2023</v>
      </c>
      <c r="F3" s="75">
        <v>2024</v>
      </c>
      <c r="G3" s="68">
        <v>2025</v>
      </c>
      <c r="H3" s="75">
        <v>2026</v>
      </c>
      <c r="I3" s="75">
        <v>2027</v>
      </c>
      <c r="J3" s="68">
        <v>2028</v>
      </c>
      <c r="K3" s="75">
        <v>2029</v>
      </c>
      <c r="L3" s="68">
        <v>2030</v>
      </c>
      <c r="M3" s="75">
        <v>2031</v>
      </c>
      <c r="N3" s="68">
        <v>2032</v>
      </c>
      <c r="O3" s="75">
        <v>2033</v>
      </c>
      <c r="P3" s="75">
        <v>2034</v>
      </c>
      <c r="Q3" s="68">
        <v>2035</v>
      </c>
      <c r="R3" s="75">
        <v>2036</v>
      </c>
      <c r="S3" s="68">
        <v>2037</v>
      </c>
      <c r="T3" s="75">
        <v>2038</v>
      </c>
      <c r="U3" s="68">
        <v>2039</v>
      </c>
      <c r="V3" s="75">
        <v>2040</v>
      </c>
      <c r="W3" s="75">
        <v>2041</v>
      </c>
      <c r="X3" s="75">
        <v>2042</v>
      </c>
      <c r="Y3" s="68">
        <v>2043</v>
      </c>
      <c r="Z3" s="75">
        <v>2044</v>
      </c>
      <c r="AA3" s="68">
        <v>2045</v>
      </c>
      <c r="AB3" s="75">
        <v>2046</v>
      </c>
      <c r="AC3" s="68">
        <v>2047</v>
      </c>
      <c r="AD3" s="68">
        <v>2048</v>
      </c>
      <c r="AE3" s="76">
        <v>2049</v>
      </c>
    </row>
    <row r="4" spans="1:31" ht="13.5" thickBot="1" x14ac:dyDescent="0.35">
      <c r="A4" s="339" t="s">
        <v>238</v>
      </c>
      <c r="B4" s="77" t="s">
        <v>194</v>
      </c>
      <c r="C4" s="65" t="s">
        <v>195</v>
      </c>
      <c r="D4" s="65" t="s">
        <v>196</v>
      </c>
      <c r="E4" s="65" t="s">
        <v>197</v>
      </c>
      <c r="F4" s="65" t="s">
        <v>198</v>
      </c>
      <c r="G4" s="65" t="s">
        <v>199</v>
      </c>
      <c r="H4" s="65" t="s">
        <v>200</v>
      </c>
      <c r="I4" s="65" t="s">
        <v>201</v>
      </c>
      <c r="J4" s="65" t="s">
        <v>202</v>
      </c>
      <c r="K4" s="65" t="s">
        <v>203</v>
      </c>
      <c r="L4" s="65" t="s">
        <v>204</v>
      </c>
      <c r="M4" s="65" t="s">
        <v>205</v>
      </c>
      <c r="N4" s="65" t="s">
        <v>206</v>
      </c>
      <c r="O4" s="65" t="s">
        <v>207</v>
      </c>
      <c r="P4" s="65" t="s">
        <v>208</v>
      </c>
      <c r="Q4" s="65" t="s">
        <v>209</v>
      </c>
      <c r="R4" s="65" t="s">
        <v>210</v>
      </c>
      <c r="S4" s="65" t="s">
        <v>211</v>
      </c>
      <c r="T4" s="65" t="s">
        <v>212</v>
      </c>
      <c r="U4" s="78" t="s">
        <v>213</v>
      </c>
      <c r="V4" s="77" t="s">
        <v>214</v>
      </c>
      <c r="W4" s="65" t="s">
        <v>215</v>
      </c>
      <c r="X4" s="65" t="s">
        <v>216</v>
      </c>
      <c r="Y4" s="65" t="s">
        <v>217</v>
      </c>
      <c r="Z4" s="65" t="s">
        <v>218</v>
      </c>
      <c r="AA4" s="65" t="s">
        <v>219</v>
      </c>
      <c r="AB4" s="65" t="s">
        <v>220</v>
      </c>
      <c r="AC4" s="65" t="s">
        <v>221</v>
      </c>
      <c r="AD4" s="65" t="s">
        <v>222</v>
      </c>
      <c r="AE4" s="78" t="s">
        <v>223</v>
      </c>
    </row>
    <row r="5" spans="1:31" ht="13" x14ac:dyDescent="0.3">
      <c r="A5" s="305" t="s">
        <v>82</v>
      </c>
      <c r="B5" s="327">
        <v>28918895</v>
      </c>
      <c r="C5" s="328">
        <v>22798638</v>
      </c>
      <c r="D5" s="328">
        <v>23220201</v>
      </c>
      <c r="E5" s="328">
        <v>24412120</v>
      </c>
      <c r="F5" s="328">
        <v>28760156</v>
      </c>
      <c r="G5" s="331">
        <v>13628170.942266393</v>
      </c>
      <c r="H5" s="331">
        <v>25617629.04053048</v>
      </c>
      <c r="I5" s="331">
        <v>20102627.598476861</v>
      </c>
      <c r="J5" s="331">
        <v>48289835.714242809</v>
      </c>
      <c r="K5" s="331">
        <v>21777387.322967894</v>
      </c>
      <c r="L5" s="331">
        <v>22999914.59477222</v>
      </c>
      <c r="M5" s="331">
        <v>13976331.297026992</v>
      </c>
      <c r="N5" s="331">
        <v>19707995.651017863</v>
      </c>
      <c r="O5" s="331">
        <v>25002548.984533884</v>
      </c>
      <c r="P5" s="331">
        <v>20531664.556411993</v>
      </c>
      <c r="Q5" s="331">
        <v>9861991.663898658</v>
      </c>
      <c r="R5" s="331">
        <v>14171142.402731948</v>
      </c>
      <c r="S5" s="331">
        <v>11089212.293309849</v>
      </c>
      <c r="T5" s="344">
        <v>16843499.770880193</v>
      </c>
      <c r="U5" s="331">
        <v>7687630.2005491415</v>
      </c>
      <c r="V5" s="332">
        <f>Pavement!W20</f>
        <v>37633249.39882648</v>
      </c>
      <c r="W5" s="332">
        <f>Pavement!X20</f>
        <v>27409524.361533534</v>
      </c>
      <c r="X5" s="332">
        <f>Pavement!Y20</f>
        <v>27797432.509865295</v>
      </c>
      <c r="Y5" s="332">
        <f>Pavement!Z20</f>
        <v>24635175.134509861</v>
      </c>
      <c r="Z5" s="332">
        <f>Pavement!AA20</f>
        <v>22036333.823411871</v>
      </c>
      <c r="AA5" s="332">
        <f>Pavement!AB20</f>
        <v>21195120.845337559</v>
      </c>
      <c r="AB5" s="332">
        <f>Pavement!AC20</f>
        <v>12321024.987597279</v>
      </c>
      <c r="AC5" s="332">
        <f>Pavement!AD20</f>
        <v>5264840.8032016968</v>
      </c>
      <c r="AD5" s="332">
        <f>Pavement!AE20</f>
        <v>5116875.060987832</v>
      </c>
      <c r="AE5" s="333">
        <f>AVERAGE(V5:AD5)</f>
        <v>20378841.880585715</v>
      </c>
    </row>
    <row r="6" spans="1:31" ht="13.5" thickBot="1" x14ac:dyDescent="0.35">
      <c r="A6" s="306" t="s">
        <v>84</v>
      </c>
      <c r="B6" s="245">
        <f>SUM(B8:B17)</f>
        <v>38508848.93</v>
      </c>
      <c r="C6" s="246">
        <f>SUM(C8:C17)</f>
        <v>27203706.780000001</v>
      </c>
      <c r="D6" s="246">
        <f t="shared" ref="D6:F6" si="0">SUM(D8:D17)</f>
        <v>19425628.789999999</v>
      </c>
      <c r="E6" s="246">
        <f t="shared" si="0"/>
        <v>13906831.9</v>
      </c>
      <c r="F6" s="246">
        <f t="shared" si="0"/>
        <v>19240153.84</v>
      </c>
      <c r="G6" s="536">
        <f>SUM(G7:G17)</f>
        <v>16113331.340512855</v>
      </c>
      <c r="H6" s="536">
        <f>SUM(H7:H17)</f>
        <v>17493117.027980857</v>
      </c>
      <c r="I6" s="536">
        <f t="shared" ref="I6:AE6" si="1">SUM(I7:I17)</f>
        <v>24503969.585995857</v>
      </c>
      <c r="J6" s="536">
        <f t="shared" si="1"/>
        <v>19288640.730843857</v>
      </c>
      <c r="K6" s="536">
        <f t="shared" si="1"/>
        <v>11951717.958580857</v>
      </c>
      <c r="L6" s="536">
        <f t="shared" si="1"/>
        <v>14207356.610000856</v>
      </c>
      <c r="M6" s="536">
        <f t="shared" si="1"/>
        <v>18115421.964170855</v>
      </c>
      <c r="N6" s="536">
        <f t="shared" si="1"/>
        <v>17214024.457220852</v>
      </c>
      <c r="O6" s="536">
        <f t="shared" si="1"/>
        <v>33106229.055498857</v>
      </c>
      <c r="P6" s="536">
        <f t="shared" si="1"/>
        <v>24179231.592630859</v>
      </c>
      <c r="Q6" s="536">
        <f t="shared" si="1"/>
        <v>18043587.408980854</v>
      </c>
      <c r="R6" s="536">
        <f t="shared" si="1"/>
        <v>17089108.847060859</v>
      </c>
      <c r="S6" s="536">
        <f t="shared" si="1"/>
        <v>18230006.394245852</v>
      </c>
      <c r="T6" s="545">
        <f t="shared" si="1"/>
        <v>24796601.456400856</v>
      </c>
      <c r="U6" s="537">
        <f t="shared" si="1"/>
        <v>17397638.918219857</v>
      </c>
      <c r="V6" s="80">
        <f>SUM(V7:V17)</f>
        <v>6575671.3265075348</v>
      </c>
      <c r="W6" s="80">
        <f t="shared" si="1"/>
        <v>7547573.783449214</v>
      </c>
      <c r="X6" s="80">
        <f t="shared" si="1"/>
        <v>13089053.452559443</v>
      </c>
      <c r="Y6" s="80">
        <f t="shared" si="1"/>
        <v>21333220.805219527</v>
      </c>
      <c r="Z6" s="80">
        <f t="shared" si="1"/>
        <v>18386996.812056765</v>
      </c>
      <c r="AA6" s="80">
        <f t="shared" si="1"/>
        <v>24037139.909258395</v>
      </c>
      <c r="AB6" s="80">
        <f t="shared" si="1"/>
        <v>23703681.309539281</v>
      </c>
      <c r="AC6" s="80">
        <f t="shared" si="1"/>
        <v>13152532.837988487</v>
      </c>
      <c r="AD6" s="80">
        <f t="shared" si="1"/>
        <v>19608914.167594813</v>
      </c>
      <c r="AE6" s="244">
        <f t="shared" si="1"/>
        <v>16172771.711574826</v>
      </c>
    </row>
    <row r="7" spans="1:31" ht="13" x14ac:dyDescent="0.3">
      <c r="A7" s="340" t="s">
        <v>392</v>
      </c>
      <c r="B7" s="302"/>
      <c r="C7" s="301"/>
      <c r="D7" s="301"/>
      <c r="E7" s="301"/>
      <c r="F7" s="301"/>
      <c r="G7" s="552">
        <f>+'5YP Impact - Adjustment'!$B$13</f>
        <v>-266300.68886034191</v>
      </c>
      <c r="H7" s="552">
        <f>+'5YP Impact - Adjustment'!$B$13</f>
        <v>-266300.68886034191</v>
      </c>
      <c r="I7" s="552">
        <f>+'5YP Impact - Adjustment'!$B$13</f>
        <v>-266300.68886034191</v>
      </c>
      <c r="J7" s="552">
        <f>+'5YP Impact - Adjustment'!$B$13</f>
        <v>-266300.68886034191</v>
      </c>
      <c r="K7" s="552">
        <f>+'5YP Impact - Adjustment'!$B$13</f>
        <v>-266300.68886034191</v>
      </c>
      <c r="L7" s="552">
        <f>+'5YP Impact - Adjustment'!$B$13</f>
        <v>-266300.68886034191</v>
      </c>
      <c r="M7" s="552">
        <f>+'5YP Impact - Adjustment'!$B$13</f>
        <v>-266300.68886034191</v>
      </c>
      <c r="N7" s="552">
        <f>+'5YP Impact - Adjustment'!$B$13</f>
        <v>-266300.68886034191</v>
      </c>
      <c r="O7" s="552">
        <f>+'5YP Impact - Adjustment'!$B$13</f>
        <v>-266300.68886034191</v>
      </c>
      <c r="P7" s="552">
        <f>+'5YP Impact - Adjustment'!$B$13</f>
        <v>-266300.68886034191</v>
      </c>
      <c r="Q7" s="552">
        <f>+'5YP Impact - Adjustment'!$B$13</f>
        <v>-266300.68886034191</v>
      </c>
      <c r="R7" s="552">
        <f>+'5YP Impact - Adjustment'!$B$13</f>
        <v>-266300.68886034191</v>
      </c>
      <c r="S7" s="552">
        <f>+'5YP Impact - Adjustment'!$B$13</f>
        <v>-266300.68886034191</v>
      </c>
      <c r="T7" s="553">
        <f>+'5YP Impact - Adjustment'!$B$13</f>
        <v>-266300.68886034191</v>
      </c>
      <c r="U7" s="552">
        <f>+'5YP Impact - Adjustment'!$B$13</f>
        <v>-266300.68886034191</v>
      </c>
      <c r="V7" s="301"/>
      <c r="W7" s="301"/>
      <c r="X7" s="301"/>
      <c r="Y7" s="301"/>
      <c r="Z7" s="301"/>
      <c r="AA7" s="301"/>
      <c r="AB7" s="301"/>
      <c r="AC7" s="301"/>
      <c r="AD7" s="301"/>
      <c r="AE7" s="303"/>
    </row>
    <row r="8" spans="1:31" ht="13" x14ac:dyDescent="0.3">
      <c r="A8" s="341" t="s">
        <v>355</v>
      </c>
      <c r="B8" s="561">
        <v>29659571.93</v>
      </c>
      <c r="C8" s="551">
        <v>19434253.780000001</v>
      </c>
      <c r="D8" s="551">
        <v>17443286.789999999</v>
      </c>
      <c r="E8" s="551">
        <v>13673987.700000001</v>
      </c>
      <c r="F8" s="551">
        <v>19184142.84</v>
      </c>
      <c r="G8" s="482"/>
      <c r="H8" s="482"/>
      <c r="I8" s="482"/>
      <c r="J8" s="482"/>
      <c r="K8" s="482"/>
      <c r="L8" s="482"/>
      <c r="M8" s="482"/>
      <c r="N8" s="482"/>
      <c r="O8" s="482"/>
      <c r="P8" s="482"/>
      <c r="Q8" s="482"/>
      <c r="R8" s="482"/>
      <c r="S8" s="482"/>
      <c r="T8" s="483"/>
      <c r="U8" s="482"/>
      <c r="V8" s="484">
        <f>Adjustment!C25</f>
        <v>5109356.3265075348</v>
      </c>
      <c r="W8" s="484">
        <f>Adjustment!D25</f>
        <v>5447758.783449214</v>
      </c>
      <c r="X8" s="484">
        <f>Adjustment!E25</f>
        <v>11207515.452559443</v>
      </c>
      <c r="Y8" s="484">
        <f>Adjustment!F25</f>
        <v>19541005.805219527</v>
      </c>
      <c r="Z8" s="484">
        <f>Adjustment!G25</f>
        <v>15823081.812056765</v>
      </c>
      <c r="AA8" s="484">
        <f>Adjustment!H25</f>
        <v>22274924.909258395</v>
      </c>
      <c r="AB8" s="484">
        <f>Adjustment!I25</f>
        <v>22237366.309539281</v>
      </c>
      <c r="AC8" s="484">
        <f>Adjustment!J25</f>
        <v>11052717.837988487</v>
      </c>
      <c r="AD8" s="484">
        <f>Adjustment!K25</f>
        <v>17952376.167594813</v>
      </c>
      <c r="AE8" s="485">
        <f>AVERAGE(V8:AD8)</f>
        <v>14516233.711574826</v>
      </c>
    </row>
    <row r="9" spans="1:31" ht="13" x14ac:dyDescent="0.3">
      <c r="A9" s="341" t="s">
        <v>375</v>
      </c>
      <c r="B9" s="480"/>
      <c r="C9" s="481"/>
      <c r="D9" s="481"/>
      <c r="E9" s="481"/>
      <c r="F9" s="481"/>
      <c r="G9" s="482">
        <f>Structures!F104</f>
        <v>9744127.2804999985</v>
      </c>
      <c r="H9" s="482">
        <f>Structures!G104</f>
        <v>9901033.1528999992</v>
      </c>
      <c r="I9" s="482">
        <f>Structures!H104</f>
        <v>9957861.6552999988</v>
      </c>
      <c r="J9" s="482">
        <f>Structures!I104</f>
        <v>8913461.3991</v>
      </c>
      <c r="K9" s="482">
        <f>Structures!J104</f>
        <v>8493361.6356000006</v>
      </c>
      <c r="L9" s="482">
        <f>Structures!K104</f>
        <v>9791127.0873000007</v>
      </c>
      <c r="M9" s="482">
        <f>Structures!L104</f>
        <v>9949967.5332000013</v>
      </c>
      <c r="N9" s="482">
        <f>Structures!M104</f>
        <v>9857736.8000000007</v>
      </c>
      <c r="O9" s="482">
        <f>Structures!N104</f>
        <v>7752749.3884000005</v>
      </c>
      <c r="P9" s="482">
        <f>Structures!O104</f>
        <v>9955026.0007999986</v>
      </c>
      <c r="Q9" s="482">
        <f>Structures!P104</f>
        <v>9952718.5968000013</v>
      </c>
      <c r="R9" s="482">
        <f>Structures!Q104</f>
        <v>9959384.2666999996</v>
      </c>
      <c r="S9" s="482">
        <f>Structures!R104</f>
        <v>9829282.0571999978</v>
      </c>
      <c r="T9" s="483">
        <f>Structures!S104</f>
        <v>9919085.7517000027</v>
      </c>
      <c r="U9" s="482">
        <f>Structures!T104</f>
        <v>9389441.6385000013</v>
      </c>
      <c r="V9" s="484"/>
      <c r="W9" s="484"/>
      <c r="X9" s="484"/>
      <c r="Y9" s="484"/>
      <c r="Z9" s="484"/>
      <c r="AA9" s="484"/>
      <c r="AB9" s="484"/>
      <c r="AC9" s="484"/>
      <c r="AD9" s="484"/>
      <c r="AE9" s="485"/>
    </row>
    <row r="10" spans="1:31" ht="13" x14ac:dyDescent="0.3">
      <c r="A10" s="341" t="s">
        <v>376</v>
      </c>
      <c r="B10" s="480"/>
      <c r="C10" s="481"/>
      <c r="D10" s="481"/>
      <c r="E10" s="481"/>
      <c r="F10" s="481"/>
      <c r="G10" s="482">
        <f>Structures!F159</f>
        <v>618404.67703200132</v>
      </c>
      <c r="H10" s="482">
        <f>Structures!G159</f>
        <v>478499.72499999963</v>
      </c>
      <c r="I10" s="482">
        <f>Structures!H159</f>
        <v>10551096.697715003</v>
      </c>
      <c r="J10" s="482">
        <f>Structures!I159</f>
        <v>2770437.2687630001</v>
      </c>
      <c r="K10" s="482">
        <f>Structures!J159</f>
        <v>0</v>
      </c>
      <c r="L10" s="482">
        <f>Structures!K159</f>
        <v>0</v>
      </c>
      <c r="M10" s="482">
        <f>Structures!L159</f>
        <v>1430157.3375899978</v>
      </c>
      <c r="N10" s="482">
        <f>Structures!M159</f>
        <v>1573169.1789999977</v>
      </c>
      <c r="O10" s="482">
        <f>Structures!N159</f>
        <v>15287649.173518002</v>
      </c>
      <c r="P10" s="482">
        <f>Structures!O159</f>
        <v>6277030.5514500011</v>
      </c>
      <c r="Q10" s="482">
        <f>Structures!P159</f>
        <v>3141969.0549999978</v>
      </c>
      <c r="R10" s="482">
        <f>Structures!Q159</f>
        <v>3143466.9966000002</v>
      </c>
      <c r="S10" s="482">
        <f>Structures!R159</f>
        <v>3403706.384265</v>
      </c>
      <c r="T10" s="483">
        <f>Structures!S159</f>
        <v>7405086.5325000025</v>
      </c>
      <c r="U10" s="482">
        <f>Structures!T159</f>
        <v>1768876.4123589993</v>
      </c>
      <c r="V10" s="484"/>
      <c r="W10" s="484"/>
      <c r="X10" s="484"/>
      <c r="Y10" s="484"/>
      <c r="Z10" s="484"/>
      <c r="AA10" s="484"/>
      <c r="AB10" s="484"/>
      <c r="AC10" s="484"/>
      <c r="AD10" s="484"/>
      <c r="AE10" s="485"/>
    </row>
    <row r="11" spans="1:31" ht="13" x14ac:dyDescent="0.3">
      <c r="A11" s="341" t="s">
        <v>377</v>
      </c>
      <c r="B11" s="480"/>
      <c r="C11" s="481"/>
      <c r="D11" s="481"/>
      <c r="E11" s="481"/>
      <c r="F11" s="481"/>
      <c r="G11" s="482">
        <f>Structures!F105</f>
        <v>4704131.2</v>
      </c>
      <c r="H11" s="482">
        <f>Structures!G105</f>
        <v>4797206.9671</v>
      </c>
      <c r="I11" s="482">
        <f>Structures!H105</f>
        <v>4799354.05</v>
      </c>
      <c r="J11" s="482">
        <f>Structures!I105</f>
        <v>4796150.34</v>
      </c>
      <c r="K11" s="482">
        <f>Structures!J105</f>
        <v>4782699.1400000006</v>
      </c>
      <c r="L11" s="482">
        <f>Structures!K105</f>
        <v>4756410.7390999999</v>
      </c>
      <c r="M11" s="482">
        <f>Structures!L105</f>
        <v>4671806.0704000005</v>
      </c>
      <c r="N11" s="482">
        <f>Structures!M105</f>
        <v>4769412.4000000004</v>
      </c>
      <c r="O11" s="482">
        <f>Structures!N105</f>
        <v>3432034.7860000003</v>
      </c>
      <c r="P11" s="482">
        <f>Structures!O105</f>
        <v>4647310.8824000042</v>
      </c>
      <c r="Q11" s="482">
        <f>Structures!P105</f>
        <v>4515642.5741999988</v>
      </c>
      <c r="R11" s="482">
        <f>Structures!Q105</f>
        <v>4788312.3141999999</v>
      </c>
      <c r="S11" s="482">
        <f>Structures!R105</f>
        <v>5288817.4897999996</v>
      </c>
      <c r="T11" s="483">
        <f>Structures!S105</f>
        <v>4795754.3799999971</v>
      </c>
      <c r="U11" s="482">
        <f>Structures!T105</f>
        <v>5950550.4984000009</v>
      </c>
      <c r="V11" s="484"/>
      <c r="W11" s="484"/>
      <c r="X11" s="484"/>
      <c r="Y11" s="484"/>
      <c r="Z11" s="484"/>
      <c r="AA11" s="484"/>
      <c r="AB11" s="484"/>
      <c r="AC11" s="484"/>
      <c r="AD11" s="484"/>
      <c r="AE11" s="485"/>
    </row>
    <row r="12" spans="1:31" ht="13" x14ac:dyDescent="0.3">
      <c r="A12" s="341" t="s">
        <v>378</v>
      </c>
      <c r="B12" s="480"/>
      <c r="C12" s="481"/>
      <c r="D12" s="481"/>
      <c r="E12" s="481"/>
      <c r="F12" s="481"/>
      <c r="G12" s="482">
        <f>Structures!F160</f>
        <v>0</v>
      </c>
      <c r="H12" s="482">
        <f>Structures!G160</f>
        <v>847220</v>
      </c>
      <c r="I12" s="482">
        <f>Structures!H160</f>
        <v>0</v>
      </c>
      <c r="J12" s="482">
        <f>Structures!I160</f>
        <v>2284434.540000001</v>
      </c>
      <c r="K12" s="482">
        <f>Structures!J160</f>
        <v>0</v>
      </c>
      <c r="L12" s="482">
        <f>Structures!K160</f>
        <v>69238.600619999692</v>
      </c>
      <c r="M12" s="482">
        <f>Structures!L160</f>
        <v>3587833.84</v>
      </c>
      <c r="N12" s="482">
        <f>Structures!M160</f>
        <v>1697348.8952400004</v>
      </c>
      <c r="O12" s="482">
        <f>Structures!N160</f>
        <v>8158138.5246000011</v>
      </c>
      <c r="P12" s="482">
        <f>Structures!O160</f>
        <v>4500102.9749999996</v>
      </c>
      <c r="Q12" s="482">
        <f>Structures!P160</f>
        <v>0</v>
      </c>
      <c r="R12" s="482">
        <f>Structures!Q160</f>
        <v>582965.08657999989</v>
      </c>
      <c r="S12" s="482">
        <f>Structures!R160</f>
        <v>1102543.2800000012</v>
      </c>
      <c r="T12" s="483">
        <f>Structures!S160</f>
        <v>3444317.6092200028</v>
      </c>
      <c r="U12" s="482">
        <f>Structures!T160</f>
        <v>513113.1859799996</v>
      </c>
      <c r="V12" s="484"/>
      <c r="W12" s="484"/>
      <c r="X12" s="484"/>
      <c r="Y12" s="484"/>
      <c r="Z12" s="484"/>
      <c r="AA12" s="484"/>
      <c r="AB12" s="484"/>
      <c r="AC12" s="484"/>
      <c r="AD12" s="484"/>
      <c r="AE12" s="485"/>
    </row>
    <row r="13" spans="1:31" ht="13" x14ac:dyDescent="0.3">
      <c r="A13" s="341" t="s">
        <v>373</v>
      </c>
      <c r="B13" s="480"/>
      <c r="C13" s="481"/>
      <c r="D13" s="481"/>
      <c r="E13" s="481"/>
      <c r="F13" s="481"/>
      <c r="G13" s="482">
        <v>-2045435.9302772826</v>
      </c>
      <c r="H13" s="482">
        <v>-2045435.9302772826</v>
      </c>
      <c r="I13" s="482">
        <v>-2045435.9302772826</v>
      </c>
      <c r="J13" s="482">
        <v>-2045435.9302772826</v>
      </c>
      <c r="K13" s="482">
        <v>-2045435.9302772826</v>
      </c>
      <c r="L13" s="482">
        <v>-2045435.9302772826</v>
      </c>
      <c r="M13" s="482">
        <v>-2045435.9302772826</v>
      </c>
      <c r="N13" s="482">
        <v>-2045435.9302772826</v>
      </c>
      <c r="O13" s="482">
        <v>-2045435.9302772826</v>
      </c>
      <c r="P13" s="482">
        <v>-2045435.9302772826</v>
      </c>
      <c r="Q13" s="482">
        <v>-2045435.9302772826</v>
      </c>
      <c r="R13" s="482">
        <v>-2045435.9302772826</v>
      </c>
      <c r="S13" s="482">
        <v>-2045435.9302772826</v>
      </c>
      <c r="T13" s="483">
        <v>-2045435.9302772826</v>
      </c>
      <c r="U13" s="482">
        <v>-2045435.9302772826</v>
      </c>
      <c r="V13" s="484"/>
      <c r="W13" s="484"/>
      <c r="X13" s="484"/>
      <c r="Y13" s="484"/>
      <c r="Z13" s="484"/>
      <c r="AA13" s="484"/>
      <c r="AB13" s="484"/>
      <c r="AC13" s="484"/>
      <c r="AD13" s="484"/>
      <c r="AE13" s="485"/>
    </row>
    <row r="14" spans="1:31" ht="13" x14ac:dyDescent="0.3">
      <c r="A14" s="341" t="s">
        <v>374</v>
      </c>
      <c r="B14" s="480"/>
      <c r="C14" s="481"/>
      <c r="D14" s="481"/>
      <c r="E14" s="481"/>
      <c r="F14" s="481"/>
      <c r="G14" s="482">
        <v>-654821.19788151921</v>
      </c>
      <c r="H14" s="482">
        <v>-654821.19788151921</v>
      </c>
      <c r="I14" s="482">
        <v>-654821.19788151921</v>
      </c>
      <c r="J14" s="482">
        <v>-654821.19788151921</v>
      </c>
      <c r="K14" s="482">
        <v>-654821.19788151921</v>
      </c>
      <c r="L14" s="482">
        <v>-654821.19788151921</v>
      </c>
      <c r="M14" s="482">
        <v>-654821.19788151921</v>
      </c>
      <c r="N14" s="482">
        <v>-654821.19788151921</v>
      </c>
      <c r="O14" s="482">
        <v>-654821.19788151921</v>
      </c>
      <c r="P14" s="482">
        <v>-654821.19788151921</v>
      </c>
      <c r="Q14" s="482">
        <v>-654821.19788151921</v>
      </c>
      <c r="R14" s="482">
        <v>-654821.19788151921</v>
      </c>
      <c r="S14" s="482">
        <v>-654821.19788151921</v>
      </c>
      <c r="T14" s="483">
        <v>-654821.19788151921</v>
      </c>
      <c r="U14" s="482">
        <v>-654821.19788151921</v>
      </c>
      <c r="V14" s="484"/>
      <c r="W14" s="484"/>
      <c r="X14" s="484"/>
      <c r="Y14" s="484"/>
      <c r="Z14" s="484"/>
      <c r="AA14" s="484"/>
      <c r="AB14" s="484"/>
      <c r="AC14" s="484"/>
      <c r="AD14" s="484"/>
      <c r="AE14" s="485"/>
    </row>
    <row r="15" spans="1:31" ht="13" x14ac:dyDescent="0.3">
      <c r="A15" s="341" t="s">
        <v>226</v>
      </c>
      <c r="B15" s="486"/>
      <c r="C15" s="487"/>
      <c r="D15" s="487"/>
      <c r="E15" s="487"/>
      <c r="F15" s="487"/>
      <c r="G15" s="482">
        <v>3693226</v>
      </c>
      <c r="H15" s="482">
        <v>4235715</v>
      </c>
      <c r="I15" s="482">
        <v>2162215</v>
      </c>
      <c r="J15" s="482">
        <v>3490715</v>
      </c>
      <c r="K15" s="482">
        <v>1642215.0000000002</v>
      </c>
      <c r="L15" s="482">
        <v>2557138</v>
      </c>
      <c r="M15" s="482">
        <v>1442215.0000000002</v>
      </c>
      <c r="N15" s="482">
        <v>2282915</v>
      </c>
      <c r="O15" s="482">
        <v>1442215.0000000002</v>
      </c>
      <c r="P15" s="482">
        <v>1466319</v>
      </c>
      <c r="Q15" s="482">
        <v>2099815</v>
      </c>
      <c r="R15" s="482">
        <v>1581538</v>
      </c>
      <c r="S15" s="482">
        <v>1442215.0000000002</v>
      </c>
      <c r="T15" s="483">
        <v>2198915</v>
      </c>
      <c r="U15" s="482">
        <v>1642215.0000000002</v>
      </c>
      <c r="V15" s="484">
        <v>1466315</v>
      </c>
      <c r="W15" s="484">
        <v>2099815</v>
      </c>
      <c r="X15" s="484">
        <v>1581538</v>
      </c>
      <c r="Y15" s="484">
        <v>1442215.0000000002</v>
      </c>
      <c r="Z15" s="484">
        <v>2123915</v>
      </c>
      <c r="AA15" s="484">
        <v>1442215.0000000002</v>
      </c>
      <c r="AB15" s="484">
        <v>1466315</v>
      </c>
      <c r="AC15" s="484">
        <v>2099815</v>
      </c>
      <c r="AD15" s="484">
        <v>1656538</v>
      </c>
      <c r="AE15" s="485">
        <v>1656538</v>
      </c>
    </row>
    <row r="16" spans="1:31" ht="13" x14ac:dyDescent="0.3">
      <c r="A16" s="341" t="s">
        <v>193</v>
      </c>
      <c r="B16" s="486"/>
      <c r="C16" s="487"/>
      <c r="D16" s="487"/>
      <c r="E16" s="487"/>
      <c r="F16" s="487"/>
      <c r="G16" s="487">
        <v>320000</v>
      </c>
      <c r="H16" s="487">
        <v>200000</v>
      </c>
      <c r="I16" s="487">
        <v>0</v>
      </c>
      <c r="J16" s="487">
        <v>0</v>
      </c>
      <c r="K16" s="487">
        <v>0</v>
      </c>
      <c r="L16" s="487">
        <v>0</v>
      </c>
      <c r="M16" s="487">
        <v>0</v>
      </c>
      <c r="N16" s="487">
        <v>0</v>
      </c>
      <c r="O16" s="487">
        <v>0</v>
      </c>
      <c r="P16" s="487">
        <v>300000</v>
      </c>
      <c r="Q16" s="487">
        <v>1300000</v>
      </c>
      <c r="R16" s="487">
        <v>0</v>
      </c>
      <c r="S16" s="487">
        <v>130000</v>
      </c>
      <c r="T16" s="488">
        <v>0</v>
      </c>
      <c r="U16" s="487">
        <v>1100000</v>
      </c>
      <c r="V16" s="487">
        <v>0</v>
      </c>
      <c r="W16" s="487">
        <v>0</v>
      </c>
      <c r="X16" s="487">
        <v>300000</v>
      </c>
      <c r="Y16" s="487">
        <v>350000</v>
      </c>
      <c r="Z16" s="487">
        <v>440000</v>
      </c>
      <c r="AA16" s="487">
        <v>320000</v>
      </c>
      <c r="AB16" s="487">
        <v>0</v>
      </c>
      <c r="AC16" s="487">
        <v>0</v>
      </c>
      <c r="AD16" s="487">
        <v>0</v>
      </c>
      <c r="AE16" s="488">
        <v>0</v>
      </c>
    </row>
    <row r="17" spans="1:32" ht="13.5" thickBot="1" x14ac:dyDescent="0.35">
      <c r="A17" s="342" t="s">
        <v>371</v>
      </c>
      <c r="B17" s="490">
        <v>8849277</v>
      </c>
      <c r="C17" s="489">
        <v>7769453</v>
      </c>
      <c r="D17" s="489">
        <v>1982342</v>
      </c>
      <c r="E17" s="489">
        <v>232844.19999999998</v>
      </c>
      <c r="F17" s="489">
        <v>56011</v>
      </c>
      <c r="G17" s="478"/>
      <c r="H17" s="478"/>
      <c r="I17" s="478"/>
      <c r="J17" s="478"/>
      <c r="K17" s="478"/>
      <c r="L17" s="478"/>
      <c r="M17" s="478"/>
      <c r="N17" s="478"/>
      <c r="O17" s="478"/>
      <c r="P17" s="478"/>
      <c r="Q17" s="478"/>
      <c r="R17" s="478"/>
      <c r="S17" s="478"/>
      <c r="T17" s="479"/>
      <c r="U17" s="478"/>
      <c r="V17" s="478"/>
      <c r="W17" s="478"/>
      <c r="X17" s="478"/>
      <c r="Y17" s="478"/>
      <c r="Z17" s="478"/>
      <c r="AA17" s="478"/>
      <c r="AB17" s="478"/>
      <c r="AC17" s="478"/>
      <c r="AD17" s="478"/>
      <c r="AE17" s="479"/>
    </row>
    <row r="18" spans="1:32" ht="13" x14ac:dyDescent="0.3">
      <c r="A18" s="306" t="s">
        <v>86</v>
      </c>
      <c r="B18" s="327">
        <f>4312702</f>
        <v>4312702</v>
      </c>
      <c r="C18" s="328">
        <v>3198205</v>
      </c>
      <c r="D18" s="328">
        <v>3326672</v>
      </c>
      <c r="E18" s="328">
        <v>3254428</v>
      </c>
      <c r="F18" s="328">
        <v>1542344</v>
      </c>
      <c r="G18" s="296">
        <v>654614.09682382236</v>
      </c>
      <c r="H18" s="296">
        <v>2564564.7858544979</v>
      </c>
      <c r="I18" s="296">
        <v>1438167.3339311248</v>
      </c>
      <c r="J18" s="296">
        <v>580226.13127566071</v>
      </c>
      <c r="K18" s="296">
        <v>515756.56113392062</v>
      </c>
      <c r="L18" s="296">
        <v>5569179.0207056999</v>
      </c>
      <c r="M18" s="296">
        <v>6592464.3380641444</v>
      </c>
      <c r="N18" s="296">
        <v>768675.64399767015</v>
      </c>
      <c r="O18" s="296">
        <v>619899.71290134685</v>
      </c>
      <c r="P18" s="296">
        <v>2479598.8516053874</v>
      </c>
      <c r="Q18" s="296">
        <v>1135656.2740352675</v>
      </c>
      <c r="R18" s="296">
        <v>2706526.7793066096</v>
      </c>
      <c r="S18" s="296">
        <v>1031513.1222678412</v>
      </c>
      <c r="T18" s="298">
        <v>669491.68993345473</v>
      </c>
      <c r="U18" s="80">
        <v>1031513.1222678412</v>
      </c>
      <c r="V18" s="80">
        <v>520000</v>
      </c>
      <c r="W18" s="80">
        <v>630000</v>
      </c>
      <c r="X18" s="80">
        <v>500000</v>
      </c>
      <c r="Y18" s="80">
        <v>348207</v>
      </c>
      <c r="Z18" s="80">
        <v>350000</v>
      </c>
      <c r="AA18" s="80">
        <v>850000</v>
      </c>
      <c r="AB18" s="80">
        <v>720000</v>
      </c>
      <c r="AC18" s="80">
        <v>892839.00199999998</v>
      </c>
      <c r="AD18" s="80">
        <v>2050000</v>
      </c>
      <c r="AE18" s="244">
        <f>1650000</f>
        <v>1650000</v>
      </c>
    </row>
    <row r="19" spans="1:32" ht="13" x14ac:dyDescent="0.3">
      <c r="A19" s="306" t="s">
        <v>11</v>
      </c>
      <c r="B19" s="329">
        <v>1526555.8407101999</v>
      </c>
      <c r="C19" s="330">
        <v>1481646.9999544006</v>
      </c>
      <c r="D19" s="330">
        <v>1350711.3239416</v>
      </c>
      <c r="E19" s="330">
        <v>311799.66281999997</v>
      </c>
      <c r="F19" s="330">
        <v>237545.76426639999</v>
      </c>
      <c r="G19" s="80">
        <v>1065166.6666666665</v>
      </c>
      <c r="H19" s="80">
        <v>1065166.6666666665</v>
      </c>
      <c r="I19" s="80">
        <v>1065166.6666666665</v>
      </c>
      <c r="J19" s="80">
        <v>1065166.6666666665</v>
      </c>
      <c r="K19" s="80">
        <v>1065166.6666666665</v>
      </c>
      <c r="L19" s="80">
        <v>1065166.6666666665</v>
      </c>
      <c r="M19" s="80">
        <v>1065166.6666666665</v>
      </c>
      <c r="N19" s="80">
        <v>1065166.6666666665</v>
      </c>
      <c r="O19" s="80">
        <v>1065166.6666666665</v>
      </c>
      <c r="P19" s="80">
        <v>1065166.6666666665</v>
      </c>
      <c r="Q19" s="80">
        <v>1065166.6666666665</v>
      </c>
      <c r="R19" s="80">
        <v>1065166.6666666665</v>
      </c>
      <c r="S19" s="80">
        <v>1065166.6666666665</v>
      </c>
      <c r="T19" s="244">
        <v>1065166.6666666665</v>
      </c>
      <c r="U19" s="80">
        <v>1065166.6666666665</v>
      </c>
      <c r="V19" s="80">
        <v>785000</v>
      </c>
      <c r="W19" s="80">
        <v>785000</v>
      </c>
      <c r="X19" s="80">
        <v>785000</v>
      </c>
      <c r="Y19" s="80">
        <v>785000</v>
      </c>
      <c r="Z19" s="80">
        <v>785000</v>
      </c>
      <c r="AA19" s="80">
        <v>785000</v>
      </c>
      <c r="AB19" s="80">
        <v>785000</v>
      </c>
      <c r="AC19" s="80">
        <v>785000</v>
      </c>
      <c r="AD19" s="80">
        <v>785000</v>
      </c>
      <c r="AE19" s="244">
        <f>785000</f>
        <v>785000</v>
      </c>
    </row>
    <row r="20" spans="1:32" ht="13" x14ac:dyDescent="0.3">
      <c r="A20" s="306" t="s">
        <v>15</v>
      </c>
      <c r="B20" s="329">
        <v>2598754.4573987732</v>
      </c>
      <c r="C20" s="330">
        <v>1882475.3248019626</v>
      </c>
      <c r="D20" s="330">
        <v>1898225.3248019626</v>
      </c>
      <c r="E20" s="330">
        <v>1629750.3248019621</v>
      </c>
      <c r="F20" s="330">
        <v>1629642.0053019617</v>
      </c>
      <c r="G20" s="80">
        <v>120000</v>
      </c>
      <c r="H20" s="80">
        <v>570000</v>
      </c>
      <c r="I20" s="80">
        <v>600000</v>
      </c>
      <c r="J20" s="80">
        <v>525000</v>
      </c>
      <c r="K20" s="80">
        <v>525000</v>
      </c>
      <c r="L20" s="80">
        <v>735000</v>
      </c>
      <c r="M20" s="80">
        <v>660000</v>
      </c>
      <c r="N20" s="80">
        <v>825000</v>
      </c>
      <c r="O20" s="80">
        <v>1065000</v>
      </c>
      <c r="P20" s="80">
        <v>750000</v>
      </c>
      <c r="Q20" s="80">
        <v>1245000</v>
      </c>
      <c r="R20" s="80">
        <v>825000</v>
      </c>
      <c r="S20" s="80">
        <v>780000</v>
      </c>
      <c r="T20" s="244">
        <v>810000</v>
      </c>
      <c r="U20" s="80">
        <v>930000</v>
      </c>
      <c r="V20" s="80">
        <v>682000</v>
      </c>
      <c r="W20" s="80">
        <v>706000</v>
      </c>
      <c r="X20" s="80">
        <v>1045000</v>
      </c>
      <c r="Y20" s="80">
        <v>1044750</v>
      </c>
      <c r="Z20" s="80">
        <v>1021250</v>
      </c>
      <c r="AA20" s="80">
        <v>1086250</v>
      </c>
      <c r="AB20" s="80">
        <v>1144750</v>
      </c>
      <c r="AC20" s="80">
        <v>1051250</v>
      </c>
      <c r="AD20" s="80">
        <v>589250</v>
      </c>
      <c r="AE20" s="244">
        <f>796750</f>
        <v>796750</v>
      </c>
    </row>
    <row r="21" spans="1:32" ht="13.5" thickBot="1" x14ac:dyDescent="0.35">
      <c r="A21" s="343" t="s">
        <v>237</v>
      </c>
      <c r="B21" s="346">
        <v>517607.84609199996</v>
      </c>
      <c r="C21" s="370">
        <v>561396.60820000002</v>
      </c>
      <c r="D21" s="370">
        <v>383500.60939999996</v>
      </c>
      <c r="E21" s="370">
        <v>383500.60939999996</v>
      </c>
      <c r="F21" s="370">
        <v>383500.61</v>
      </c>
      <c r="G21" s="246">
        <v>430261.5</v>
      </c>
      <c r="H21" s="246">
        <v>409311</v>
      </c>
      <c r="I21" s="246">
        <v>396036</v>
      </c>
      <c r="J21" s="246">
        <v>388339.5</v>
      </c>
      <c r="K21" s="246">
        <v>384317.5</v>
      </c>
      <c r="L21" s="246">
        <v>382513.5</v>
      </c>
      <c r="M21" s="246">
        <v>381927</v>
      </c>
      <c r="N21" s="246">
        <v>381929.5</v>
      </c>
      <c r="O21" s="246">
        <v>382162.5</v>
      </c>
      <c r="P21" s="246">
        <v>382440</v>
      </c>
      <c r="Q21" s="246">
        <v>382681</v>
      </c>
      <c r="R21" s="246">
        <v>382861</v>
      </c>
      <c r="S21" s="246">
        <v>382982</v>
      </c>
      <c r="T21" s="247">
        <v>383056.5</v>
      </c>
      <c r="U21" s="80">
        <v>383098.5</v>
      </c>
      <c r="V21" s="80">
        <v>383185.5</v>
      </c>
      <c r="W21" s="80">
        <v>383185.5</v>
      </c>
      <c r="X21" s="80">
        <v>383185.5</v>
      </c>
      <c r="Y21" s="80">
        <v>383185.5</v>
      </c>
      <c r="Z21" s="80">
        <v>383185.5</v>
      </c>
      <c r="AA21" s="80">
        <v>383185.5</v>
      </c>
      <c r="AB21" s="80">
        <v>383185.5</v>
      </c>
      <c r="AC21" s="80">
        <v>383185.5</v>
      </c>
      <c r="AD21" s="80">
        <v>383185.5</v>
      </c>
      <c r="AE21" s="244">
        <f>383123</f>
        <v>383123</v>
      </c>
    </row>
    <row r="22" spans="1:32" ht="13.5" thickBot="1" x14ac:dyDescent="0.35">
      <c r="A22" s="538" t="s">
        <v>372</v>
      </c>
      <c r="B22" s="375">
        <v>7232486</v>
      </c>
      <c r="C22" s="555"/>
      <c r="D22" s="374"/>
      <c r="E22" s="374"/>
      <c r="F22" s="374"/>
      <c r="G22" s="374"/>
      <c r="H22" s="374"/>
      <c r="I22" s="374"/>
      <c r="J22" s="374"/>
      <c r="K22" s="374"/>
      <c r="L22" s="374"/>
      <c r="M22" s="374"/>
      <c r="N22" s="374"/>
      <c r="O22" s="374"/>
      <c r="P22" s="374"/>
      <c r="Q22" s="374"/>
      <c r="R22" s="374"/>
      <c r="S22" s="374"/>
      <c r="T22" s="376"/>
      <c r="U22" s="374"/>
      <c r="V22" s="374"/>
      <c r="W22" s="374"/>
      <c r="X22" s="374"/>
      <c r="Y22" s="374"/>
      <c r="Z22" s="374"/>
      <c r="AA22" s="374"/>
      <c r="AB22" s="374"/>
      <c r="AC22" s="374"/>
      <c r="AD22" s="374"/>
      <c r="AE22" s="376"/>
    </row>
    <row r="23" spans="1:32" ht="13.5" thickBot="1" x14ac:dyDescent="0.35">
      <c r="A23" s="299"/>
      <c r="B23" s="546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3"/>
    </row>
    <row r="24" spans="1:32" ht="13" x14ac:dyDescent="0.3">
      <c r="A24" s="539" t="s">
        <v>27</v>
      </c>
      <c r="B24" s="572">
        <v>8562183.2596069947</v>
      </c>
      <c r="C24" s="296">
        <v>9236240.9699999988</v>
      </c>
      <c r="D24" s="296">
        <v>9331573.3499999996</v>
      </c>
      <c r="E24" s="296">
        <v>7391926.0799999991</v>
      </c>
      <c r="F24" s="296">
        <v>8761229.0534999985</v>
      </c>
      <c r="G24" s="296">
        <v>8231584.3499999987</v>
      </c>
      <c r="H24" s="296">
        <v>5571260.9534999989</v>
      </c>
      <c r="I24" s="296">
        <v>6279103.875</v>
      </c>
      <c r="J24" s="296">
        <v>6610933.8899999997</v>
      </c>
      <c r="K24" s="296">
        <v>5808858.5774999997</v>
      </c>
      <c r="L24" s="296">
        <v>6451435.4849999994</v>
      </c>
      <c r="M24" s="296">
        <v>10173431.597999997</v>
      </c>
      <c r="N24" s="296">
        <v>8251567.4834999992</v>
      </c>
      <c r="O24" s="296">
        <v>6090272.4299999997</v>
      </c>
      <c r="P24" s="296">
        <v>13146701.864999998</v>
      </c>
      <c r="Q24" s="296">
        <v>10723059.435000001</v>
      </c>
      <c r="R24" s="296">
        <v>11972646.938999999</v>
      </c>
      <c r="S24" s="296">
        <v>12162761.704499999</v>
      </c>
      <c r="T24" s="298">
        <v>7994903.3834999995</v>
      </c>
      <c r="U24" s="296">
        <v>0</v>
      </c>
      <c r="V24" s="296">
        <v>1455300</v>
      </c>
      <c r="W24" s="296">
        <v>4178377.5</v>
      </c>
      <c r="X24" s="296">
        <v>4190587.5000000005</v>
      </c>
      <c r="Y24" s="296">
        <v>11233199.999999998</v>
      </c>
      <c r="Z24" s="296">
        <v>6868950</v>
      </c>
      <c r="AA24" s="296">
        <v>2394975</v>
      </c>
      <c r="AB24" s="296">
        <v>12148950</v>
      </c>
      <c r="AC24" s="296">
        <v>17167837.499999996</v>
      </c>
      <c r="AD24" s="296">
        <v>5598037.4999999991</v>
      </c>
      <c r="AE24" s="298">
        <v>2834049.9</v>
      </c>
    </row>
    <row r="25" spans="1:32" ht="13" x14ac:dyDescent="0.3">
      <c r="A25" s="540" t="s">
        <v>189</v>
      </c>
      <c r="B25" s="557">
        <v>5514105.4400000004</v>
      </c>
      <c r="C25" s="334">
        <f t="shared" ref="C25:AE25" si="2">6226910-C21</f>
        <v>5665513.3918000003</v>
      </c>
      <c r="D25" s="334">
        <f t="shared" si="2"/>
        <v>5843409.3905999996</v>
      </c>
      <c r="E25" s="334">
        <f t="shared" si="2"/>
        <v>5843409.3905999996</v>
      </c>
      <c r="F25" s="334">
        <f t="shared" si="2"/>
        <v>5843409.3899999997</v>
      </c>
      <c r="G25" s="334">
        <f>6226910-G21</f>
        <v>5796648.5</v>
      </c>
      <c r="H25" s="334">
        <f t="shared" si="2"/>
        <v>5817599</v>
      </c>
      <c r="I25" s="334">
        <f t="shared" si="2"/>
        <v>5830874</v>
      </c>
      <c r="J25" s="334">
        <f t="shared" si="2"/>
        <v>5838570.5</v>
      </c>
      <c r="K25" s="334">
        <f t="shared" si="2"/>
        <v>5842592.5</v>
      </c>
      <c r="L25" s="334">
        <f t="shared" si="2"/>
        <v>5844396.5</v>
      </c>
      <c r="M25" s="334">
        <f t="shared" si="2"/>
        <v>5844983</v>
      </c>
      <c r="N25" s="334">
        <f t="shared" si="2"/>
        <v>5844980.5</v>
      </c>
      <c r="O25" s="334">
        <f t="shared" si="2"/>
        <v>5844747.5</v>
      </c>
      <c r="P25" s="334">
        <f t="shared" si="2"/>
        <v>5844470</v>
      </c>
      <c r="Q25" s="334">
        <f t="shared" si="2"/>
        <v>5844229</v>
      </c>
      <c r="R25" s="334">
        <f t="shared" si="2"/>
        <v>5844049</v>
      </c>
      <c r="S25" s="334">
        <f t="shared" si="2"/>
        <v>5843928</v>
      </c>
      <c r="T25" s="335">
        <f t="shared" si="2"/>
        <v>5843853.5</v>
      </c>
      <c r="U25" s="334">
        <f t="shared" si="2"/>
        <v>5843811.5</v>
      </c>
      <c r="V25" s="334">
        <f t="shared" si="2"/>
        <v>5843724.5</v>
      </c>
      <c r="W25" s="334">
        <f t="shared" si="2"/>
        <v>5843724.5</v>
      </c>
      <c r="X25" s="334">
        <f t="shared" si="2"/>
        <v>5843724.5</v>
      </c>
      <c r="Y25" s="334">
        <f t="shared" si="2"/>
        <v>5843724.5</v>
      </c>
      <c r="Z25" s="334">
        <f t="shared" si="2"/>
        <v>5843724.5</v>
      </c>
      <c r="AA25" s="334">
        <f t="shared" si="2"/>
        <v>5843724.5</v>
      </c>
      <c r="AB25" s="334">
        <f t="shared" si="2"/>
        <v>5843724.5</v>
      </c>
      <c r="AC25" s="334">
        <f t="shared" si="2"/>
        <v>5843724.5</v>
      </c>
      <c r="AD25" s="334">
        <f t="shared" si="2"/>
        <v>5843724.5</v>
      </c>
      <c r="AE25" s="335">
        <f t="shared" si="2"/>
        <v>5843787</v>
      </c>
    </row>
    <row r="26" spans="1:32" ht="13" x14ac:dyDescent="0.3">
      <c r="A26" s="540" t="s">
        <v>46</v>
      </c>
      <c r="B26" s="557">
        <v>235000</v>
      </c>
      <c r="C26" s="80">
        <v>0</v>
      </c>
      <c r="D26" s="80">
        <v>100000</v>
      </c>
      <c r="E26" s="80">
        <v>25000</v>
      </c>
      <c r="F26" s="80">
        <v>200000</v>
      </c>
      <c r="G26" s="80">
        <v>205000</v>
      </c>
      <c r="H26" s="80">
        <v>0</v>
      </c>
      <c r="I26" s="80">
        <v>0</v>
      </c>
      <c r="J26" s="80">
        <v>0</v>
      </c>
      <c r="K26" s="80">
        <v>0</v>
      </c>
      <c r="L26" s="80">
        <v>0</v>
      </c>
      <c r="M26" s="80">
        <v>0</v>
      </c>
      <c r="N26" s="80">
        <v>55000</v>
      </c>
      <c r="O26" s="80">
        <v>150000</v>
      </c>
      <c r="P26" s="80">
        <v>0</v>
      </c>
      <c r="Q26" s="80">
        <v>180000</v>
      </c>
      <c r="R26" s="80">
        <v>0</v>
      </c>
      <c r="S26" s="80">
        <v>0</v>
      </c>
      <c r="T26" s="244">
        <v>0</v>
      </c>
      <c r="U26" s="80">
        <v>0</v>
      </c>
      <c r="V26" s="80">
        <v>40000</v>
      </c>
      <c r="W26" s="80">
        <v>0</v>
      </c>
      <c r="X26" s="80">
        <v>0</v>
      </c>
      <c r="Y26" s="80">
        <v>0</v>
      </c>
      <c r="Z26" s="80">
        <v>0</v>
      </c>
      <c r="AA26" s="80">
        <v>0</v>
      </c>
      <c r="AB26" s="80">
        <v>0</v>
      </c>
      <c r="AC26" s="80">
        <v>55000</v>
      </c>
      <c r="AD26" s="80">
        <v>150000</v>
      </c>
      <c r="AE26" s="244">
        <v>0</v>
      </c>
    </row>
    <row r="27" spans="1:32" ht="13" x14ac:dyDescent="0.3">
      <c r="A27" s="540" t="s">
        <v>29</v>
      </c>
      <c r="B27" s="557">
        <v>7221291.666666667</v>
      </c>
      <c r="C27" s="334">
        <v>6619791.6799999997</v>
      </c>
      <c r="D27" s="334">
        <v>3413261.5350000001</v>
      </c>
      <c r="E27" s="334">
        <v>4466751.7</v>
      </c>
      <c r="F27" s="334">
        <v>2362812.4649999999</v>
      </c>
      <c r="G27" s="334">
        <v>2015000</v>
      </c>
      <c r="H27" s="334">
        <v>1105000</v>
      </c>
      <c r="I27" s="334">
        <v>1584000</v>
      </c>
      <c r="J27" s="334">
        <v>1584000</v>
      </c>
      <c r="K27" s="334">
        <v>1584500</v>
      </c>
      <c r="L27" s="334">
        <v>1536000</v>
      </c>
      <c r="M27" s="334">
        <v>1560000</v>
      </c>
      <c r="N27" s="334">
        <v>1308500</v>
      </c>
      <c r="O27" s="334">
        <v>1105000</v>
      </c>
      <c r="P27" s="334">
        <v>1308500</v>
      </c>
      <c r="Q27" s="334">
        <v>1536000</v>
      </c>
      <c r="R27" s="334">
        <v>1536000</v>
      </c>
      <c r="S27" s="334">
        <v>1318625</v>
      </c>
      <c r="T27" s="335">
        <v>1560000</v>
      </c>
      <c r="U27" s="334">
        <v>1536000</v>
      </c>
      <c r="V27" s="334">
        <v>1967000</v>
      </c>
      <c r="W27" s="334">
        <v>1967000</v>
      </c>
      <c r="X27" s="334">
        <v>2446000</v>
      </c>
      <c r="Y27" s="334">
        <v>4390000</v>
      </c>
      <c r="Z27" s="334">
        <v>4869000</v>
      </c>
      <c r="AA27" s="334">
        <v>4844000</v>
      </c>
      <c r="AB27" s="334">
        <v>4365000</v>
      </c>
      <c r="AC27" s="334">
        <v>3455000</v>
      </c>
      <c r="AD27" s="334">
        <v>2861000</v>
      </c>
      <c r="AE27" s="335">
        <v>2497000</v>
      </c>
    </row>
    <row r="28" spans="1:32" ht="13.5" thickBot="1" x14ac:dyDescent="0.35">
      <c r="A28" s="541" t="s">
        <v>62</v>
      </c>
      <c r="B28" s="554">
        <v>1033131.93</v>
      </c>
      <c r="C28" s="246">
        <v>244000</v>
      </c>
      <c r="D28" s="246">
        <v>224000</v>
      </c>
      <c r="E28" s="246">
        <v>224000</v>
      </c>
      <c r="F28" s="246">
        <v>3419000</v>
      </c>
      <c r="G28" s="246">
        <v>3619000</v>
      </c>
      <c r="H28" s="246">
        <v>3019500</v>
      </c>
      <c r="I28" s="246">
        <v>2571000</v>
      </c>
      <c r="J28" s="246">
        <v>2395000</v>
      </c>
      <c r="K28" s="246">
        <v>1851000</v>
      </c>
      <c r="L28" s="246">
        <v>1795000</v>
      </c>
      <c r="M28" s="246">
        <v>1771000</v>
      </c>
      <c r="N28" s="246">
        <v>1891000</v>
      </c>
      <c r="O28" s="246">
        <v>1851000</v>
      </c>
      <c r="P28" s="246">
        <v>1747000</v>
      </c>
      <c r="Q28" s="246">
        <v>1795000</v>
      </c>
      <c r="R28" s="246">
        <v>2171000</v>
      </c>
      <c r="S28" s="246">
        <v>1827000</v>
      </c>
      <c r="T28" s="247">
        <v>1747000</v>
      </c>
      <c r="U28" s="246">
        <v>2171000</v>
      </c>
      <c r="V28" s="246">
        <v>3935000</v>
      </c>
      <c r="W28" s="246">
        <v>4759000</v>
      </c>
      <c r="X28" s="246">
        <v>4294000</v>
      </c>
      <c r="Y28" s="246">
        <v>3870000</v>
      </c>
      <c r="Z28" s="246">
        <v>3350000</v>
      </c>
      <c r="AA28" s="246">
        <v>2742000</v>
      </c>
      <c r="AB28" s="246">
        <v>2302000</v>
      </c>
      <c r="AC28" s="246">
        <v>1809500</v>
      </c>
      <c r="AD28" s="246">
        <v>1997000</v>
      </c>
      <c r="AE28" s="247">
        <v>1997000</v>
      </c>
      <c r="AF28" s="66"/>
    </row>
    <row r="29" spans="1:32" ht="13.5" thickBot="1" x14ac:dyDescent="0.35">
      <c r="A29" s="300"/>
      <c r="B29" s="546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3"/>
    </row>
    <row r="30" spans="1:32" ht="13" x14ac:dyDescent="0.3">
      <c r="A30" s="305" t="s">
        <v>397</v>
      </c>
      <c r="B30" s="302">
        <f>B5+B6+B18+B19+B20+B21+B22</f>
        <v>83615850.074200973</v>
      </c>
      <c r="C30" s="301">
        <f>C5+C6+C18+C19+C20+C21+C22</f>
        <v>57126068.712956361</v>
      </c>
      <c r="D30" s="301">
        <f>D5+D6+D18+D19+D20+D21+D22</f>
        <v>49604939.048143558</v>
      </c>
      <c r="E30" s="301">
        <f>E5+E6+E18+E19+E20+E21+E22</f>
        <v>43898430.497021951</v>
      </c>
      <c r="F30" s="301">
        <f>F5+F6+F18+F19+F20+F21+F22</f>
        <v>51793342.219568364</v>
      </c>
      <c r="G30" s="301">
        <f>G5+G6+G18+G19+G20+G21+G22</f>
        <v>32011544.546269737</v>
      </c>
      <c r="H30" s="301">
        <f>H5+H6+H18+H19+H20+H21+H22</f>
        <v>47719788.521032497</v>
      </c>
      <c r="I30" s="301">
        <f>I5+I6+I18+I19+I20+I21+I22</f>
        <v>48105967.185070507</v>
      </c>
      <c r="J30" s="301">
        <f>J5+J6+J18+J19+J20+J21+J22</f>
        <v>70137208.743028983</v>
      </c>
      <c r="K30" s="301">
        <f>K5+K6+K18+K19+K20+K21+K22</f>
        <v>36219346.009349339</v>
      </c>
      <c r="L30" s="301">
        <f>L5+L6+L18+L19+L20+L21+L22</f>
        <v>44959130.39214544</v>
      </c>
      <c r="M30" s="301">
        <f>M5+M6+M18+M19+M20+M21+M22</f>
        <v>40791311.265928656</v>
      </c>
      <c r="N30" s="301">
        <f>N5+N6+N18+N19+N20+N21+N22</f>
        <v>39962791.918903045</v>
      </c>
      <c r="O30" s="301">
        <f>O5+O6+O18+O19+O20+O21+O22</f>
        <v>61241006.919600755</v>
      </c>
      <c r="P30" s="301">
        <f>P5+P6+P18+P19+P20+P21+P22</f>
        <v>49388101.667314902</v>
      </c>
      <c r="Q30" s="301">
        <f>Q5+Q6+Q18+Q19+Q20+Q21+Q22</f>
        <v>31734083.013581447</v>
      </c>
      <c r="R30" s="301">
        <f>R5+R6+R18+R19+R20+R21+R22</f>
        <v>36239805.695766084</v>
      </c>
      <c r="S30" s="301">
        <f>S5+S6+S18+S19+S20+S21+S22</f>
        <v>32578880.476490211</v>
      </c>
      <c r="T30" s="303">
        <f>T5+T6+T18+T19+T20+T21+T22</f>
        <v>44567816.08388117</v>
      </c>
      <c r="U30" s="301">
        <f>U5+U6+U18+U19+U20+U21+U22</f>
        <v>28495047.407703508</v>
      </c>
      <c r="V30" s="301">
        <f>V5+V6+V18+V19+V20+V21+V22</f>
        <v>46579106.225334018</v>
      </c>
      <c r="W30" s="301">
        <f>W5+W6+W18+W19+W20+W21+W22</f>
        <v>37461283.644982748</v>
      </c>
      <c r="X30" s="301">
        <f>X5+X6+X18+X19+X20+X21+X22</f>
        <v>43599671.46242474</v>
      </c>
      <c r="Y30" s="301">
        <f>Y5+Y6+Y18+Y19+Y20+Y21+Y22</f>
        <v>48529538.439729393</v>
      </c>
      <c r="Z30" s="301">
        <f>Z5+Z6+Z18+Z19+Z20+Z21+Z22</f>
        <v>42962766.135468632</v>
      </c>
      <c r="AA30" s="301">
        <f>AA5+AA6+AA18+AA19+AA20+AA21+AA22</f>
        <v>48336696.25459595</v>
      </c>
      <c r="AB30" s="301">
        <f>AB5+AB6+AB18+AB19+AB20+AB21+AB22</f>
        <v>39057641.79713656</v>
      </c>
      <c r="AC30" s="301">
        <f>AC5+AC6+AC18+AC19+AC20+AC21+AC22</f>
        <v>21529648.143190183</v>
      </c>
      <c r="AD30" s="301">
        <f>AD5+AD6+AD18+AD19+AD20+AD21+AD22</f>
        <v>28533224.728582643</v>
      </c>
      <c r="AE30" s="303">
        <f>AE5+AE6+AE18+AE19+AE20+AE21+AE22</f>
        <v>40166486.592160538</v>
      </c>
    </row>
    <row r="31" spans="1:32" s="67" customFormat="1" ht="13.5" thickBot="1" x14ac:dyDescent="0.35">
      <c r="A31" s="306" t="s">
        <v>234</v>
      </c>
      <c r="B31" s="491">
        <f>B30/1000000</f>
        <v>83.615850074200978</v>
      </c>
      <c r="C31" s="492">
        <f t="shared" ref="C31:AE31" si="3">C30/1000000</f>
        <v>57.126068712956361</v>
      </c>
      <c r="D31" s="492">
        <f t="shared" si="3"/>
        <v>49.604939048143557</v>
      </c>
      <c r="E31" s="492">
        <f t="shared" si="3"/>
        <v>43.898430497021948</v>
      </c>
      <c r="F31" s="492">
        <f t="shared" si="3"/>
        <v>51.793342219568366</v>
      </c>
      <c r="G31" s="492">
        <f>G30/1000000</f>
        <v>32.011544546269739</v>
      </c>
      <c r="H31" s="492">
        <f t="shared" si="3"/>
        <v>47.719788521032498</v>
      </c>
      <c r="I31" s="492">
        <f t="shared" si="3"/>
        <v>48.105967185070504</v>
      </c>
      <c r="J31" s="492">
        <f t="shared" si="3"/>
        <v>70.137208743028978</v>
      </c>
      <c r="K31" s="492">
        <f t="shared" si="3"/>
        <v>36.219346009349337</v>
      </c>
      <c r="L31" s="492">
        <f t="shared" si="3"/>
        <v>44.95913039214544</v>
      </c>
      <c r="M31" s="492">
        <f t="shared" si="3"/>
        <v>40.791311265928655</v>
      </c>
      <c r="N31" s="492">
        <f t="shared" si="3"/>
        <v>39.962791918903044</v>
      </c>
      <c r="O31" s="492">
        <f t="shared" si="3"/>
        <v>61.241006919600757</v>
      </c>
      <c r="P31" s="492">
        <f t="shared" si="3"/>
        <v>49.388101667314899</v>
      </c>
      <c r="Q31" s="492">
        <f t="shared" si="3"/>
        <v>31.734083013581447</v>
      </c>
      <c r="R31" s="492">
        <f t="shared" si="3"/>
        <v>36.239805695766087</v>
      </c>
      <c r="S31" s="492">
        <f t="shared" si="3"/>
        <v>32.578880476490212</v>
      </c>
      <c r="T31" s="493">
        <f t="shared" si="3"/>
        <v>44.567816083881169</v>
      </c>
      <c r="U31" s="492">
        <f t="shared" si="3"/>
        <v>28.495047407703506</v>
      </c>
      <c r="V31" s="492">
        <f t="shared" si="3"/>
        <v>46.579106225334016</v>
      </c>
      <c r="W31" s="492">
        <f t="shared" si="3"/>
        <v>37.46128364498275</v>
      </c>
      <c r="X31" s="492">
        <f t="shared" si="3"/>
        <v>43.599671462424737</v>
      </c>
      <c r="Y31" s="492">
        <f t="shared" si="3"/>
        <v>48.529538439729393</v>
      </c>
      <c r="Z31" s="492">
        <f t="shared" si="3"/>
        <v>42.962766135468634</v>
      </c>
      <c r="AA31" s="492">
        <f t="shared" si="3"/>
        <v>48.33669625459595</v>
      </c>
      <c r="AB31" s="492">
        <f t="shared" si="3"/>
        <v>39.057641797136561</v>
      </c>
      <c r="AC31" s="492">
        <f t="shared" si="3"/>
        <v>21.529648143190183</v>
      </c>
      <c r="AD31" s="492">
        <f t="shared" si="3"/>
        <v>28.533224728582642</v>
      </c>
      <c r="AE31" s="493">
        <f t="shared" si="3"/>
        <v>40.166486592160538</v>
      </c>
    </row>
    <row r="32" spans="1:32" ht="13" x14ac:dyDescent="0.3">
      <c r="A32" s="539" t="s">
        <v>397</v>
      </c>
      <c r="B32" s="558">
        <f>SUM(B24:B27)</f>
        <v>21532580.366273664</v>
      </c>
      <c r="C32" s="559">
        <f t="shared" ref="C32:AE32" si="4">SUM(C24:C27)</f>
        <v>21521546.0418</v>
      </c>
      <c r="D32" s="559">
        <f t="shared" si="4"/>
        <v>18688244.275600001</v>
      </c>
      <c r="E32" s="559">
        <f t="shared" si="4"/>
        <v>17727087.170599997</v>
      </c>
      <c r="F32" s="559">
        <f>SUM(F24:F27)</f>
        <v>17167450.908499997</v>
      </c>
      <c r="G32" s="559">
        <f>SUM(G24:G27)</f>
        <v>16248232.849999998</v>
      </c>
      <c r="H32" s="559">
        <f>SUM(H24:H27)</f>
        <v>12493859.953499999</v>
      </c>
      <c r="I32" s="559">
        <f t="shared" si="4"/>
        <v>13693977.875</v>
      </c>
      <c r="J32" s="559">
        <f t="shared" si="4"/>
        <v>14033504.390000001</v>
      </c>
      <c r="K32" s="559">
        <f t="shared" si="4"/>
        <v>13235951.077500001</v>
      </c>
      <c r="L32" s="559">
        <f t="shared" si="4"/>
        <v>13831831.984999999</v>
      </c>
      <c r="M32" s="559">
        <f t="shared" si="4"/>
        <v>17578414.597999997</v>
      </c>
      <c r="N32" s="559">
        <f t="shared" si="4"/>
        <v>15460047.9835</v>
      </c>
      <c r="O32" s="559">
        <f t="shared" si="4"/>
        <v>13190019.93</v>
      </c>
      <c r="P32" s="559">
        <f t="shared" si="4"/>
        <v>20299671.864999998</v>
      </c>
      <c r="Q32" s="559">
        <f t="shared" si="4"/>
        <v>18283288.435000002</v>
      </c>
      <c r="R32" s="559">
        <f t="shared" si="4"/>
        <v>19352695.938999999</v>
      </c>
      <c r="S32" s="559">
        <f t="shared" si="4"/>
        <v>19325314.704499997</v>
      </c>
      <c r="T32" s="560">
        <f>SUM(T24:T27)</f>
        <v>15398756.883499999</v>
      </c>
      <c r="U32" s="304">
        <f t="shared" si="4"/>
        <v>7379811.5</v>
      </c>
      <c r="V32" s="304">
        <f t="shared" si="4"/>
        <v>9306024.5</v>
      </c>
      <c r="W32" s="304">
        <f t="shared" si="4"/>
        <v>11989102</v>
      </c>
      <c r="X32" s="304">
        <f t="shared" si="4"/>
        <v>12480312</v>
      </c>
      <c r="Y32" s="304">
        <f t="shared" si="4"/>
        <v>21466924.5</v>
      </c>
      <c r="Z32" s="304">
        <f t="shared" si="4"/>
        <v>17581674.5</v>
      </c>
      <c r="AA32" s="304">
        <f t="shared" si="4"/>
        <v>13082699.5</v>
      </c>
      <c r="AB32" s="304">
        <f t="shared" si="4"/>
        <v>22357674.5</v>
      </c>
      <c r="AC32" s="304">
        <f t="shared" si="4"/>
        <v>26521561.999999996</v>
      </c>
      <c r="AD32" s="304">
        <f t="shared" si="4"/>
        <v>14452762</v>
      </c>
      <c r="AE32" s="307">
        <f t="shared" si="4"/>
        <v>11174836.9</v>
      </c>
    </row>
    <row r="33" spans="1:31" s="67" customFormat="1" ht="13.5" thickBot="1" x14ac:dyDescent="0.35">
      <c r="A33" s="541" t="s">
        <v>235</v>
      </c>
      <c r="B33" s="312">
        <f>B32/1000000</f>
        <v>21.532580366273663</v>
      </c>
      <c r="C33" s="313">
        <f t="shared" ref="C33:AE33" si="5">C32/1000000</f>
        <v>21.521546041800001</v>
      </c>
      <c r="D33" s="313">
        <f t="shared" si="5"/>
        <v>18.688244275600002</v>
      </c>
      <c r="E33" s="313">
        <f t="shared" si="5"/>
        <v>17.727087170599997</v>
      </c>
      <c r="F33" s="313">
        <f t="shared" si="5"/>
        <v>17.167450908499998</v>
      </c>
      <c r="G33" s="313">
        <f>G32/1000000</f>
        <v>16.248232849999997</v>
      </c>
      <c r="H33" s="313">
        <f t="shared" si="5"/>
        <v>12.493859953499999</v>
      </c>
      <c r="I33" s="313">
        <f t="shared" si="5"/>
        <v>13.693977875</v>
      </c>
      <c r="J33" s="313">
        <f t="shared" si="5"/>
        <v>14.033504390000001</v>
      </c>
      <c r="K33" s="313">
        <f t="shared" si="5"/>
        <v>13.235951077500001</v>
      </c>
      <c r="L33" s="313">
        <f t="shared" si="5"/>
        <v>13.831831984999999</v>
      </c>
      <c r="M33" s="313">
        <f t="shared" si="5"/>
        <v>17.578414597999998</v>
      </c>
      <c r="N33" s="313">
        <f t="shared" si="5"/>
        <v>15.460047983500001</v>
      </c>
      <c r="O33" s="313">
        <f t="shared" si="5"/>
        <v>13.19001993</v>
      </c>
      <c r="P33" s="313">
        <f t="shared" si="5"/>
        <v>20.299671864999997</v>
      </c>
      <c r="Q33" s="313">
        <f t="shared" si="5"/>
        <v>18.283288435000003</v>
      </c>
      <c r="R33" s="313">
        <f t="shared" si="5"/>
        <v>19.352695939</v>
      </c>
      <c r="S33" s="313">
        <f t="shared" si="5"/>
        <v>19.325314704499998</v>
      </c>
      <c r="T33" s="314">
        <f t="shared" si="5"/>
        <v>15.398756883499999</v>
      </c>
      <c r="U33" s="313">
        <f t="shared" si="5"/>
        <v>7.3798114999999997</v>
      </c>
      <c r="V33" s="313">
        <f t="shared" si="5"/>
        <v>9.3060244999999995</v>
      </c>
      <c r="W33" s="313">
        <f t="shared" si="5"/>
        <v>11.989102000000001</v>
      </c>
      <c r="X33" s="313">
        <f t="shared" si="5"/>
        <v>12.480312</v>
      </c>
      <c r="Y33" s="313">
        <f t="shared" si="5"/>
        <v>21.466924500000001</v>
      </c>
      <c r="Z33" s="313">
        <f t="shared" si="5"/>
        <v>17.581674499999998</v>
      </c>
      <c r="AA33" s="313">
        <f t="shared" si="5"/>
        <v>13.0826995</v>
      </c>
      <c r="AB33" s="313">
        <f t="shared" si="5"/>
        <v>22.357674500000002</v>
      </c>
      <c r="AC33" s="313">
        <f t="shared" si="5"/>
        <v>26.521561999999996</v>
      </c>
      <c r="AD33" s="313">
        <f t="shared" si="5"/>
        <v>14.452762</v>
      </c>
      <c r="AE33" s="314">
        <f t="shared" si="5"/>
        <v>11.174836900000001</v>
      </c>
    </row>
    <row r="34" spans="1:31" ht="13.5" thickBot="1" x14ac:dyDescent="0.35">
      <c r="A34" s="299"/>
      <c r="B34" s="79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244"/>
    </row>
    <row r="35" spans="1:31" s="70" customFormat="1" ht="13" x14ac:dyDescent="0.3">
      <c r="A35" s="88" t="s">
        <v>191</v>
      </c>
      <c r="B35" s="315">
        <f>B30+B32</f>
        <v>105148430.44047463</v>
      </c>
      <c r="C35" s="316">
        <f t="shared" ref="C35:AE35" si="6">C30+C32</f>
        <v>78647614.754756361</v>
      </c>
      <c r="D35" s="316">
        <f t="shared" si="6"/>
        <v>68293183.323743552</v>
      </c>
      <c r="E35" s="316">
        <f t="shared" si="6"/>
        <v>61625517.667621948</v>
      </c>
      <c r="F35" s="316">
        <f>F30+F32</f>
        <v>68960793.128068358</v>
      </c>
      <c r="G35" s="316">
        <f>G30+G32</f>
        <v>48259777.396269739</v>
      </c>
      <c r="H35" s="316">
        <f t="shared" si="6"/>
        <v>60213648.4745325</v>
      </c>
      <c r="I35" s="316">
        <f t="shared" si="6"/>
        <v>61799945.060070507</v>
      </c>
      <c r="J35" s="316">
        <f t="shared" si="6"/>
        <v>84170713.133028984</v>
      </c>
      <c r="K35" s="316">
        <f t="shared" si="6"/>
        <v>49455297.086849339</v>
      </c>
      <c r="L35" s="316">
        <f t="shared" si="6"/>
        <v>58790962.377145439</v>
      </c>
      <c r="M35" s="316">
        <f t="shared" si="6"/>
        <v>58369725.863928653</v>
      </c>
      <c r="N35" s="316">
        <f t="shared" si="6"/>
        <v>55422839.902403042</v>
      </c>
      <c r="O35" s="316">
        <f t="shared" si="6"/>
        <v>74431026.849600762</v>
      </c>
      <c r="P35" s="316">
        <f t="shared" si="6"/>
        <v>69687773.532314897</v>
      </c>
      <c r="Q35" s="316">
        <f t="shared" si="6"/>
        <v>50017371.44858145</v>
      </c>
      <c r="R35" s="316">
        <f t="shared" si="6"/>
        <v>55592501.634766087</v>
      </c>
      <c r="S35" s="316">
        <f t="shared" si="6"/>
        <v>51904195.180990204</v>
      </c>
      <c r="T35" s="317">
        <f>T30+T32</f>
        <v>59966572.967381164</v>
      </c>
      <c r="U35" s="316">
        <f t="shared" si="6"/>
        <v>35874858.907703504</v>
      </c>
      <c r="V35" s="316">
        <f t="shared" si="6"/>
        <v>55885130.725334018</v>
      </c>
      <c r="W35" s="316">
        <f t="shared" si="6"/>
        <v>49450385.644982748</v>
      </c>
      <c r="X35" s="316">
        <f t="shared" si="6"/>
        <v>56079983.46242474</v>
      </c>
      <c r="Y35" s="316">
        <f t="shared" si="6"/>
        <v>69996462.939729393</v>
      </c>
      <c r="Z35" s="316">
        <f t="shared" si="6"/>
        <v>60544440.635468632</v>
      </c>
      <c r="AA35" s="316">
        <f t="shared" si="6"/>
        <v>61419395.75459595</v>
      </c>
      <c r="AB35" s="316">
        <f t="shared" si="6"/>
        <v>61415316.29713656</v>
      </c>
      <c r="AC35" s="316">
        <f t="shared" si="6"/>
        <v>48051210.143190175</v>
      </c>
      <c r="AD35" s="316">
        <f t="shared" si="6"/>
        <v>42985986.728582643</v>
      </c>
      <c r="AE35" s="317">
        <f t="shared" si="6"/>
        <v>51341323.492160536</v>
      </c>
    </row>
    <row r="36" spans="1:31" s="70" customFormat="1" ht="14.5" customHeight="1" thickBot="1" x14ac:dyDescent="0.35">
      <c r="A36" s="89" t="s">
        <v>398</v>
      </c>
      <c r="B36" s="84">
        <f>B35/1000000</f>
        <v>105.14843044047463</v>
      </c>
      <c r="C36" s="85">
        <f t="shared" ref="C36:AE36" si="7">C35/1000000</f>
        <v>78.647614754756361</v>
      </c>
      <c r="D36" s="85">
        <f t="shared" si="7"/>
        <v>68.293183323743548</v>
      </c>
      <c r="E36" s="85">
        <f t="shared" si="7"/>
        <v>61.625517667621949</v>
      </c>
      <c r="F36" s="85">
        <f>F35/1000000</f>
        <v>68.96079312806836</v>
      </c>
      <c r="G36" s="85">
        <f>G35/1000000</f>
        <v>48.25977739626974</v>
      </c>
      <c r="H36" s="85">
        <f t="shared" si="7"/>
        <v>60.213648474532498</v>
      </c>
      <c r="I36" s="85">
        <f t="shared" si="7"/>
        <v>61.799945060070506</v>
      </c>
      <c r="J36" s="85">
        <f t="shared" si="7"/>
        <v>84.170713133028983</v>
      </c>
      <c r="K36" s="85">
        <f t="shared" si="7"/>
        <v>49.455297086849342</v>
      </c>
      <c r="L36" s="85">
        <f t="shared" si="7"/>
        <v>58.790962377145441</v>
      </c>
      <c r="M36" s="85">
        <f t="shared" si="7"/>
        <v>58.36972586392865</v>
      </c>
      <c r="N36" s="85">
        <f t="shared" si="7"/>
        <v>55.422839902403041</v>
      </c>
      <c r="O36" s="85">
        <f t="shared" si="7"/>
        <v>74.431026849600755</v>
      </c>
      <c r="P36" s="85">
        <f t="shared" si="7"/>
        <v>69.687773532314893</v>
      </c>
      <c r="Q36" s="85">
        <f t="shared" si="7"/>
        <v>50.01737144858145</v>
      </c>
      <c r="R36" s="85">
        <f t="shared" si="7"/>
        <v>55.592501634766087</v>
      </c>
      <c r="S36" s="85">
        <f t="shared" si="7"/>
        <v>51.904195180990207</v>
      </c>
      <c r="T36" s="86">
        <f>T35/1000000</f>
        <v>59.966572967381161</v>
      </c>
      <c r="U36" s="85">
        <f t="shared" si="7"/>
        <v>35.874858907703505</v>
      </c>
      <c r="V36" s="85">
        <f t="shared" si="7"/>
        <v>55.885130725334015</v>
      </c>
      <c r="W36" s="85">
        <f t="shared" si="7"/>
        <v>49.450385644982745</v>
      </c>
      <c r="X36" s="85">
        <f t="shared" si="7"/>
        <v>56.079983462424742</v>
      </c>
      <c r="Y36" s="85">
        <f t="shared" si="7"/>
        <v>69.996462939729398</v>
      </c>
      <c r="Z36" s="85">
        <f t="shared" si="7"/>
        <v>60.544440635468632</v>
      </c>
      <c r="AA36" s="85">
        <f t="shared" si="7"/>
        <v>61.419395754595953</v>
      </c>
      <c r="AB36" s="85">
        <f>AB35/1000000</f>
        <v>61.415316297136563</v>
      </c>
      <c r="AC36" s="85">
        <f t="shared" si="7"/>
        <v>48.051210143190175</v>
      </c>
      <c r="AD36" s="85">
        <f t="shared" si="7"/>
        <v>42.985986728582645</v>
      </c>
      <c r="AE36" s="86">
        <f t="shared" si="7"/>
        <v>51.341323492160534</v>
      </c>
    </row>
    <row r="37" spans="1:31" s="72" customFormat="1" ht="13.5" thickBot="1" x14ac:dyDescent="0.35">
      <c r="A37" s="299"/>
      <c r="B37" s="547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310"/>
      <c r="W37" s="81"/>
      <c r="X37" s="81"/>
      <c r="Y37" s="81"/>
      <c r="Z37" s="81"/>
      <c r="AA37" s="81"/>
      <c r="AB37" s="81"/>
      <c r="AC37" s="81"/>
      <c r="AD37" s="81"/>
      <c r="AE37" s="81"/>
    </row>
    <row r="38" spans="1:31" s="320" customFormat="1" ht="13" x14ac:dyDescent="0.3">
      <c r="A38" s="542" t="s">
        <v>352</v>
      </c>
      <c r="B38" s="548">
        <v>0</v>
      </c>
      <c r="C38" s="318"/>
      <c r="D38" s="318"/>
      <c r="E38" s="318"/>
      <c r="F38" s="318">
        <f>AVERAGE($F$36:$T$36)</f>
        <v>60.469542935728732</v>
      </c>
      <c r="G38" s="318">
        <f t="shared" ref="G38:AE38" si="8">AVERAGE($F$36:$T$36)</f>
        <v>60.469542935728732</v>
      </c>
      <c r="H38" s="318">
        <f t="shared" si="8"/>
        <v>60.469542935728732</v>
      </c>
      <c r="I38" s="318">
        <f t="shared" si="8"/>
        <v>60.469542935728732</v>
      </c>
      <c r="J38" s="318">
        <f t="shared" si="8"/>
        <v>60.469542935728732</v>
      </c>
      <c r="K38" s="318">
        <f t="shared" si="8"/>
        <v>60.469542935728732</v>
      </c>
      <c r="L38" s="318">
        <f t="shared" si="8"/>
        <v>60.469542935728732</v>
      </c>
      <c r="M38" s="318">
        <f t="shared" si="8"/>
        <v>60.469542935728732</v>
      </c>
      <c r="N38" s="318">
        <f t="shared" si="8"/>
        <v>60.469542935728732</v>
      </c>
      <c r="O38" s="318">
        <f t="shared" si="8"/>
        <v>60.469542935728732</v>
      </c>
      <c r="P38" s="318">
        <f t="shared" si="8"/>
        <v>60.469542935728732</v>
      </c>
      <c r="Q38" s="318">
        <f t="shared" si="8"/>
        <v>60.469542935728732</v>
      </c>
      <c r="R38" s="318">
        <f t="shared" si="8"/>
        <v>60.469542935728732</v>
      </c>
      <c r="S38" s="318">
        <f t="shared" si="8"/>
        <v>60.469542935728732</v>
      </c>
      <c r="T38" s="319">
        <f t="shared" si="8"/>
        <v>60.469542935728732</v>
      </c>
      <c r="U38" s="318">
        <f t="shared" si="8"/>
        <v>60.469542935728732</v>
      </c>
      <c r="V38" s="318">
        <f t="shared" si="8"/>
        <v>60.469542935728732</v>
      </c>
      <c r="W38" s="318">
        <f t="shared" si="8"/>
        <v>60.469542935728732</v>
      </c>
      <c r="X38" s="318">
        <f t="shared" si="8"/>
        <v>60.469542935728732</v>
      </c>
      <c r="Y38" s="318">
        <f t="shared" si="8"/>
        <v>60.469542935728732</v>
      </c>
      <c r="Z38" s="318">
        <f t="shared" si="8"/>
        <v>60.469542935728732</v>
      </c>
      <c r="AA38" s="318">
        <f t="shared" si="8"/>
        <v>60.469542935728732</v>
      </c>
      <c r="AB38" s="318">
        <f t="shared" si="8"/>
        <v>60.469542935728732</v>
      </c>
      <c r="AC38" s="318">
        <f t="shared" si="8"/>
        <v>60.469542935728732</v>
      </c>
      <c r="AD38" s="318">
        <f t="shared" si="8"/>
        <v>60.469542935728732</v>
      </c>
      <c r="AE38" s="319">
        <f t="shared" si="8"/>
        <v>60.469542935728732</v>
      </c>
    </row>
    <row r="39" spans="1:31" s="323" customFormat="1" ht="13" x14ac:dyDescent="0.3">
      <c r="A39" s="543" t="s">
        <v>401</v>
      </c>
      <c r="B39" s="549">
        <v>0</v>
      </c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21"/>
      <c r="P39" s="321"/>
      <c r="Q39" s="321"/>
      <c r="R39" s="321"/>
      <c r="S39" s="321"/>
      <c r="T39" s="322"/>
      <c r="U39" s="321">
        <f>1.25*U38</f>
        <v>75.586928669660921</v>
      </c>
      <c r="V39" s="321">
        <f>1.25*V38</f>
        <v>75.586928669660921</v>
      </c>
      <c r="W39" s="321">
        <f t="shared" ref="W39:AD39" si="9">1.25*W38</f>
        <v>75.586928669660921</v>
      </c>
      <c r="X39" s="321">
        <f t="shared" si="9"/>
        <v>75.586928669660921</v>
      </c>
      <c r="Y39" s="321">
        <f t="shared" si="9"/>
        <v>75.586928669660921</v>
      </c>
      <c r="Z39" s="321">
        <f t="shared" si="9"/>
        <v>75.586928669660921</v>
      </c>
      <c r="AA39" s="321">
        <f t="shared" si="9"/>
        <v>75.586928669660921</v>
      </c>
      <c r="AB39" s="321">
        <f t="shared" si="9"/>
        <v>75.586928669660921</v>
      </c>
      <c r="AC39" s="321">
        <f t="shared" si="9"/>
        <v>75.586928669660921</v>
      </c>
      <c r="AD39" s="321">
        <f t="shared" si="9"/>
        <v>75.586928669660921</v>
      </c>
      <c r="AE39" s="322">
        <f>1.25*AE38</f>
        <v>75.586928669660921</v>
      </c>
    </row>
    <row r="40" spans="1:31" s="326" customFormat="1" ht="13.5" thickBot="1" x14ac:dyDescent="0.35">
      <c r="A40" s="544" t="s">
        <v>236</v>
      </c>
      <c r="B40" s="550">
        <v>0</v>
      </c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24"/>
      <c r="S40" s="324"/>
      <c r="T40" s="325"/>
      <c r="U40" s="324">
        <f>AVERAGE($U$36:$AE$36)</f>
        <v>53.913135884664442</v>
      </c>
      <c r="V40" s="324">
        <f t="shared" ref="V40:AE40" si="10">AVERAGE($U$36:$AE$36)</f>
        <v>53.913135884664442</v>
      </c>
      <c r="W40" s="324">
        <f t="shared" si="10"/>
        <v>53.913135884664442</v>
      </c>
      <c r="X40" s="324">
        <f t="shared" si="10"/>
        <v>53.913135884664442</v>
      </c>
      <c r="Y40" s="324">
        <f t="shared" si="10"/>
        <v>53.913135884664442</v>
      </c>
      <c r="Z40" s="324">
        <f t="shared" si="10"/>
        <v>53.913135884664442</v>
      </c>
      <c r="AA40" s="324">
        <f t="shared" si="10"/>
        <v>53.913135884664442</v>
      </c>
      <c r="AB40" s="324">
        <f t="shared" si="10"/>
        <v>53.913135884664442</v>
      </c>
      <c r="AC40" s="324">
        <f t="shared" si="10"/>
        <v>53.913135884664442</v>
      </c>
      <c r="AD40" s="324">
        <f t="shared" si="10"/>
        <v>53.913135884664442</v>
      </c>
      <c r="AE40" s="325">
        <f t="shared" si="10"/>
        <v>53.913135884664442</v>
      </c>
    </row>
    <row r="41" spans="1:31" s="70" customFormat="1" ht="13" x14ac:dyDescent="0.3">
      <c r="A41" s="69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</row>
    <row r="42" spans="1:31" s="70" customFormat="1" ht="13" x14ac:dyDescent="0.3">
      <c r="A42" s="69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</row>
    <row r="43" spans="1:31" s="70" customFormat="1" ht="13" x14ac:dyDescent="0.3">
      <c r="A43" s="69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</row>
    <row r="46" spans="1:31" ht="13" x14ac:dyDescent="0.3">
      <c r="C46" s="67"/>
    </row>
    <row r="47" spans="1:31" ht="13" x14ac:dyDescent="0.3">
      <c r="C47" s="67"/>
    </row>
    <row r="48" spans="1:31" ht="13" x14ac:dyDescent="0.3">
      <c r="C48" s="67"/>
    </row>
    <row r="49" spans="2:3" ht="13" x14ac:dyDescent="0.3">
      <c r="C49" s="67"/>
    </row>
    <row r="50" spans="2:3" x14ac:dyDescent="0.25">
      <c r="B50" s="70"/>
    </row>
    <row r="70" spans="1:31" ht="13" thickBot="1" x14ac:dyDescent="0.3"/>
    <row r="71" spans="1:31" ht="13.5" thickBot="1" x14ac:dyDescent="0.35">
      <c r="A71" s="345"/>
      <c r="B71" s="77" t="s">
        <v>194</v>
      </c>
      <c r="C71" s="65" t="s">
        <v>195</v>
      </c>
      <c r="D71" s="65" t="s">
        <v>196</v>
      </c>
      <c r="E71" s="65" t="s">
        <v>197</v>
      </c>
      <c r="F71" s="65" t="s">
        <v>198</v>
      </c>
      <c r="G71" s="65" t="s">
        <v>199</v>
      </c>
      <c r="H71" s="65" t="s">
        <v>200</v>
      </c>
      <c r="I71" s="65" t="s">
        <v>201</v>
      </c>
      <c r="J71" s="65" t="s">
        <v>202</v>
      </c>
      <c r="K71" s="65" t="s">
        <v>203</v>
      </c>
      <c r="L71" s="65" t="s">
        <v>204</v>
      </c>
      <c r="M71" s="65" t="s">
        <v>205</v>
      </c>
      <c r="N71" s="65" t="s">
        <v>206</v>
      </c>
      <c r="O71" s="65" t="s">
        <v>207</v>
      </c>
      <c r="P71" s="65" t="s">
        <v>208</v>
      </c>
      <c r="Q71" s="65" t="s">
        <v>209</v>
      </c>
      <c r="R71" s="65" t="s">
        <v>210</v>
      </c>
      <c r="S71" s="65" t="s">
        <v>211</v>
      </c>
      <c r="T71" s="65" t="s">
        <v>212</v>
      </c>
      <c r="U71" s="78" t="s">
        <v>213</v>
      </c>
      <c r="V71" s="77" t="s">
        <v>214</v>
      </c>
      <c r="W71" s="65" t="s">
        <v>215</v>
      </c>
      <c r="X71" s="65" t="s">
        <v>216</v>
      </c>
      <c r="Y71" s="65" t="s">
        <v>217</v>
      </c>
      <c r="Z71" s="65" t="s">
        <v>218</v>
      </c>
      <c r="AA71" s="65" t="s">
        <v>219</v>
      </c>
      <c r="AB71" s="65" t="s">
        <v>220</v>
      </c>
      <c r="AC71" s="65" t="s">
        <v>221</v>
      </c>
      <c r="AD71" s="65" t="s">
        <v>222</v>
      </c>
      <c r="AE71" s="78" t="s">
        <v>223</v>
      </c>
    </row>
    <row r="72" spans="1:31" ht="13.5" thickBot="1" x14ac:dyDescent="0.35">
      <c r="A72" s="345"/>
      <c r="B72" s="347" t="s">
        <v>224</v>
      </c>
      <c r="C72" s="348" t="s">
        <v>225</v>
      </c>
      <c r="D72" s="348" t="s">
        <v>254</v>
      </c>
      <c r="E72" s="348" t="s">
        <v>255</v>
      </c>
      <c r="F72" s="348" t="s">
        <v>256</v>
      </c>
      <c r="G72" s="348" t="s">
        <v>257</v>
      </c>
      <c r="H72" s="348" t="s">
        <v>258</v>
      </c>
      <c r="I72" s="348" t="s">
        <v>259</v>
      </c>
      <c r="J72" s="348" t="s">
        <v>260</v>
      </c>
      <c r="K72" s="348" t="s">
        <v>261</v>
      </c>
      <c r="L72" s="348" t="s">
        <v>262</v>
      </c>
      <c r="M72" s="348" t="s">
        <v>263</v>
      </c>
      <c r="N72" s="348" t="s">
        <v>264</v>
      </c>
      <c r="O72" s="348" t="s">
        <v>265</v>
      </c>
      <c r="P72" s="348" t="s">
        <v>266</v>
      </c>
      <c r="Q72" s="348" t="s">
        <v>267</v>
      </c>
      <c r="R72" s="348" t="s">
        <v>268</v>
      </c>
      <c r="S72" s="348" t="s">
        <v>269</v>
      </c>
      <c r="T72" s="348" t="s">
        <v>270</v>
      </c>
      <c r="U72" s="349" t="s">
        <v>271</v>
      </c>
      <c r="V72" s="348" t="s">
        <v>272</v>
      </c>
      <c r="W72" s="348" t="s">
        <v>273</v>
      </c>
      <c r="X72" s="348" t="s">
        <v>274</v>
      </c>
      <c r="Y72" s="348" t="s">
        <v>357</v>
      </c>
      <c r="Z72" s="348" t="s">
        <v>358</v>
      </c>
      <c r="AA72" s="348" t="s">
        <v>359</v>
      </c>
      <c r="AB72" s="348" t="s">
        <v>360</v>
      </c>
      <c r="AC72" s="348" t="s">
        <v>361</v>
      </c>
      <c r="AD72" s="348" t="s">
        <v>362</v>
      </c>
      <c r="AE72" s="349" t="s">
        <v>363</v>
      </c>
    </row>
    <row r="73" spans="1:31" ht="13" x14ac:dyDescent="0.3">
      <c r="A73" s="305" t="s">
        <v>82</v>
      </c>
      <c r="B73" s="297">
        <f>B5</f>
        <v>28918895</v>
      </c>
      <c r="C73" s="296">
        <f>C5</f>
        <v>22798638</v>
      </c>
      <c r="D73" s="296">
        <f>D5</f>
        <v>23220201</v>
      </c>
      <c r="E73" s="296">
        <f>E5</f>
        <v>24412120</v>
      </c>
      <c r="F73" s="296">
        <f>F5</f>
        <v>28760156</v>
      </c>
      <c r="G73" s="296">
        <f>G5</f>
        <v>13628170.942266393</v>
      </c>
      <c r="H73" s="296">
        <f>H5</f>
        <v>25617629.04053048</v>
      </c>
      <c r="I73" s="296">
        <f>I5</f>
        <v>20102627.598476861</v>
      </c>
      <c r="J73" s="296">
        <f>J5</f>
        <v>48289835.714242809</v>
      </c>
      <c r="K73" s="296">
        <f>K5</f>
        <v>21777387.322967894</v>
      </c>
      <c r="L73" s="296">
        <f>L5</f>
        <v>22999914.59477222</v>
      </c>
      <c r="M73" s="296">
        <f>M5</f>
        <v>13976331.297026992</v>
      </c>
      <c r="N73" s="296">
        <f>N5</f>
        <v>19707995.651017863</v>
      </c>
      <c r="O73" s="296">
        <f>O5</f>
        <v>25002548.984533884</v>
      </c>
      <c r="P73" s="296">
        <f>P5</f>
        <v>20531664.556411993</v>
      </c>
      <c r="Q73" s="296">
        <f>Q5</f>
        <v>9861991.663898658</v>
      </c>
      <c r="R73" s="296">
        <f>R5</f>
        <v>14171142.402731948</v>
      </c>
      <c r="S73" s="296">
        <f>S5</f>
        <v>11089212.293309849</v>
      </c>
      <c r="T73" s="296">
        <f>T5</f>
        <v>16843499.770880193</v>
      </c>
      <c r="U73" s="296">
        <f>U5</f>
        <v>7687630.2005491415</v>
      </c>
      <c r="V73" s="296">
        <f>V5</f>
        <v>37633249.39882648</v>
      </c>
      <c r="W73" s="296">
        <f>W5</f>
        <v>27409524.361533534</v>
      </c>
      <c r="X73" s="296">
        <f>X5</f>
        <v>27797432.509865295</v>
      </c>
      <c r="Y73" s="296">
        <f>Y5</f>
        <v>24635175.134509861</v>
      </c>
      <c r="Z73" s="296">
        <f>Z5</f>
        <v>22036333.823411871</v>
      </c>
      <c r="AA73" s="296">
        <f>AA5</f>
        <v>21195120.845337559</v>
      </c>
      <c r="AB73" s="296">
        <f>AB5</f>
        <v>12321024.987597279</v>
      </c>
      <c r="AC73" s="296">
        <f>AC5</f>
        <v>5264840.8032016968</v>
      </c>
      <c r="AD73" s="296">
        <f>AD5</f>
        <v>5116875.060987832</v>
      </c>
      <c r="AE73" s="298">
        <f>AE5</f>
        <v>20378841.880585715</v>
      </c>
    </row>
    <row r="74" spans="1:31" ht="13" x14ac:dyDescent="0.3">
      <c r="A74" s="306" t="s">
        <v>84</v>
      </c>
      <c r="B74" s="79">
        <f>B6</f>
        <v>38508848.93</v>
      </c>
      <c r="C74" s="80">
        <f>C6</f>
        <v>27203706.780000001</v>
      </c>
      <c r="D74" s="80">
        <f>D6</f>
        <v>19425628.789999999</v>
      </c>
      <c r="E74" s="80">
        <f>E6</f>
        <v>13906831.9</v>
      </c>
      <c r="F74" s="80">
        <f>F6</f>
        <v>19240153.84</v>
      </c>
      <c r="G74" s="80">
        <f>G6</f>
        <v>16113331.340512855</v>
      </c>
      <c r="H74" s="80">
        <f>H6</f>
        <v>17493117.027980857</v>
      </c>
      <c r="I74" s="80">
        <f>I6</f>
        <v>24503969.585995857</v>
      </c>
      <c r="J74" s="80">
        <f>J6</f>
        <v>19288640.730843857</v>
      </c>
      <c r="K74" s="80">
        <f>K6</f>
        <v>11951717.958580857</v>
      </c>
      <c r="L74" s="80">
        <f>L6</f>
        <v>14207356.610000856</v>
      </c>
      <c r="M74" s="80">
        <f>M6</f>
        <v>18115421.964170855</v>
      </c>
      <c r="N74" s="80">
        <f>N6</f>
        <v>17214024.457220852</v>
      </c>
      <c r="O74" s="80">
        <f>O6</f>
        <v>33106229.055498857</v>
      </c>
      <c r="P74" s="80">
        <f>P6</f>
        <v>24179231.592630859</v>
      </c>
      <c r="Q74" s="80">
        <f>Q6</f>
        <v>18043587.408980854</v>
      </c>
      <c r="R74" s="80">
        <f>R6</f>
        <v>17089108.847060859</v>
      </c>
      <c r="S74" s="80">
        <f>S6</f>
        <v>18230006.394245852</v>
      </c>
      <c r="T74" s="80">
        <f>T6</f>
        <v>24796601.456400856</v>
      </c>
      <c r="U74" s="80">
        <f>U6</f>
        <v>17397638.918219857</v>
      </c>
      <c r="V74" s="80">
        <f>V6</f>
        <v>6575671.3265075348</v>
      </c>
      <c r="W74" s="80">
        <f>W6</f>
        <v>7547573.783449214</v>
      </c>
      <c r="X74" s="80">
        <f>X6</f>
        <v>13089053.452559443</v>
      </c>
      <c r="Y74" s="80">
        <f>Y6</f>
        <v>21333220.805219527</v>
      </c>
      <c r="Z74" s="80">
        <f>Z6</f>
        <v>18386996.812056765</v>
      </c>
      <c r="AA74" s="80">
        <f>AA6</f>
        <v>24037139.909258395</v>
      </c>
      <c r="AB74" s="80">
        <f>AB6</f>
        <v>23703681.309539281</v>
      </c>
      <c r="AC74" s="80">
        <f>AC6</f>
        <v>13152532.837988487</v>
      </c>
      <c r="AD74" s="80">
        <f>AD6</f>
        <v>19608914.167594813</v>
      </c>
      <c r="AE74" s="244">
        <f>AE6</f>
        <v>16172771.711574826</v>
      </c>
    </row>
    <row r="75" spans="1:31" ht="13" x14ac:dyDescent="0.3">
      <c r="A75" s="306" t="s">
        <v>356</v>
      </c>
      <c r="B75" s="79">
        <f>B18</f>
        <v>4312702</v>
      </c>
      <c r="C75" s="80">
        <f t="shared" ref="C75:AE75" si="11">C18</f>
        <v>3198205</v>
      </c>
      <c r="D75" s="80">
        <f t="shared" si="11"/>
        <v>3326672</v>
      </c>
      <c r="E75" s="80">
        <f t="shared" si="11"/>
        <v>3254428</v>
      </c>
      <c r="F75" s="80">
        <f t="shared" si="11"/>
        <v>1542344</v>
      </c>
      <c r="G75" s="80">
        <f t="shared" si="11"/>
        <v>654614.09682382236</v>
      </c>
      <c r="H75" s="80">
        <f t="shared" si="11"/>
        <v>2564564.7858544979</v>
      </c>
      <c r="I75" s="80">
        <f t="shared" si="11"/>
        <v>1438167.3339311248</v>
      </c>
      <c r="J75" s="80">
        <f t="shared" si="11"/>
        <v>580226.13127566071</v>
      </c>
      <c r="K75" s="80">
        <f t="shared" si="11"/>
        <v>515756.56113392062</v>
      </c>
      <c r="L75" s="80">
        <f t="shared" si="11"/>
        <v>5569179.0207056999</v>
      </c>
      <c r="M75" s="80">
        <f t="shared" si="11"/>
        <v>6592464.3380641444</v>
      </c>
      <c r="N75" s="80">
        <f t="shared" si="11"/>
        <v>768675.64399767015</v>
      </c>
      <c r="O75" s="80">
        <f t="shared" si="11"/>
        <v>619899.71290134685</v>
      </c>
      <c r="P75" s="80">
        <f t="shared" si="11"/>
        <v>2479598.8516053874</v>
      </c>
      <c r="Q75" s="80">
        <f t="shared" si="11"/>
        <v>1135656.2740352675</v>
      </c>
      <c r="R75" s="80">
        <f t="shared" si="11"/>
        <v>2706526.7793066096</v>
      </c>
      <c r="S75" s="80">
        <f t="shared" si="11"/>
        <v>1031513.1222678412</v>
      </c>
      <c r="T75" s="80">
        <f t="shared" si="11"/>
        <v>669491.68993345473</v>
      </c>
      <c r="U75" s="80">
        <f t="shared" si="11"/>
        <v>1031513.1222678412</v>
      </c>
      <c r="V75" s="80">
        <f t="shared" si="11"/>
        <v>520000</v>
      </c>
      <c r="W75" s="80">
        <f t="shared" si="11"/>
        <v>630000</v>
      </c>
      <c r="X75" s="80">
        <f t="shared" si="11"/>
        <v>500000</v>
      </c>
      <c r="Y75" s="80">
        <f t="shared" si="11"/>
        <v>348207</v>
      </c>
      <c r="Z75" s="80">
        <f t="shared" si="11"/>
        <v>350000</v>
      </c>
      <c r="AA75" s="80">
        <f t="shared" si="11"/>
        <v>850000</v>
      </c>
      <c r="AB75" s="80">
        <f t="shared" si="11"/>
        <v>720000</v>
      </c>
      <c r="AC75" s="80">
        <f t="shared" si="11"/>
        <v>892839.00199999998</v>
      </c>
      <c r="AD75" s="80">
        <f t="shared" si="11"/>
        <v>2050000</v>
      </c>
      <c r="AE75" s="244">
        <f t="shared" si="11"/>
        <v>1650000</v>
      </c>
    </row>
    <row r="76" spans="1:31" ht="13" x14ac:dyDescent="0.3">
      <c r="A76" s="306" t="s">
        <v>354</v>
      </c>
      <c r="B76" s="79">
        <f>B19+B20+B21</f>
        <v>4642918.1442009732</v>
      </c>
      <c r="C76" s="80">
        <f t="shared" ref="C76:AE76" si="12">C19+C20+C21</f>
        <v>3925518.9329563635</v>
      </c>
      <c r="D76" s="80">
        <f t="shared" si="12"/>
        <v>3632437.2581435624</v>
      </c>
      <c r="E76" s="80">
        <f t="shared" si="12"/>
        <v>2325050.5970219621</v>
      </c>
      <c r="F76" s="80">
        <f t="shared" si="12"/>
        <v>2250688.3795683617</v>
      </c>
      <c r="G76" s="80">
        <f t="shared" si="12"/>
        <v>1615428.1666666665</v>
      </c>
      <c r="H76" s="80">
        <f t="shared" si="12"/>
        <v>2044477.6666666665</v>
      </c>
      <c r="I76" s="80">
        <f t="shared" si="12"/>
        <v>2061202.6666666665</v>
      </c>
      <c r="J76" s="80">
        <f t="shared" si="12"/>
        <v>1978506.1666666665</v>
      </c>
      <c r="K76" s="80">
        <f t="shared" si="12"/>
        <v>1974484.1666666665</v>
      </c>
      <c r="L76" s="80">
        <f t="shared" si="12"/>
        <v>2182680.1666666665</v>
      </c>
      <c r="M76" s="80">
        <f t="shared" si="12"/>
        <v>2107093.6666666665</v>
      </c>
      <c r="N76" s="80">
        <f t="shared" si="12"/>
        <v>2272096.1666666665</v>
      </c>
      <c r="O76" s="80">
        <f t="shared" si="12"/>
        <v>2512329.1666666665</v>
      </c>
      <c r="P76" s="80">
        <f t="shared" si="12"/>
        <v>2197606.6666666665</v>
      </c>
      <c r="Q76" s="80">
        <f t="shared" si="12"/>
        <v>2692847.6666666665</v>
      </c>
      <c r="R76" s="80">
        <f t="shared" si="12"/>
        <v>2273027.6666666665</v>
      </c>
      <c r="S76" s="80">
        <f t="shared" si="12"/>
        <v>2228148.6666666665</v>
      </c>
      <c r="T76" s="80">
        <f t="shared" si="12"/>
        <v>2258223.1666666665</v>
      </c>
      <c r="U76" s="80">
        <f t="shared" si="12"/>
        <v>2378265.1666666665</v>
      </c>
      <c r="V76" s="80">
        <f t="shared" si="12"/>
        <v>1850185.5</v>
      </c>
      <c r="W76" s="80">
        <f t="shared" si="12"/>
        <v>1874185.5</v>
      </c>
      <c r="X76" s="80">
        <f t="shared" si="12"/>
        <v>2213185.5</v>
      </c>
      <c r="Y76" s="80">
        <f t="shared" si="12"/>
        <v>2212935.5</v>
      </c>
      <c r="Z76" s="80">
        <f t="shared" si="12"/>
        <v>2189435.5</v>
      </c>
      <c r="AA76" s="80">
        <f t="shared" si="12"/>
        <v>2254435.5</v>
      </c>
      <c r="AB76" s="80">
        <f t="shared" si="12"/>
        <v>2312935.5</v>
      </c>
      <c r="AC76" s="80">
        <f t="shared" si="12"/>
        <v>2219435.5</v>
      </c>
      <c r="AD76" s="80">
        <f t="shared" si="12"/>
        <v>1757435.5</v>
      </c>
      <c r="AE76" s="244">
        <f t="shared" si="12"/>
        <v>1964873</v>
      </c>
    </row>
    <row r="77" spans="1:31" ht="13.5" thickBot="1" x14ac:dyDescent="0.35">
      <c r="A77" s="343" t="s">
        <v>25</v>
      </c>
      <c r="B77" s="245">
        <f>B24+B25+B26+B27+B28</f>
        <v>22565712.296273664</v>
      </c>
      <c r="C77" s="246">
        <f t="shared" ref="C77:AE77" si="13">C24+C25+C26+C27+C28</f>
        <v>21765546.0418</v>
      </c>
      <c r="D77" s="246">
        <f t="shared" si="13"/>
        <v>18912244.275600001</v>
      </c>
      <c r="E77" s="246">
        <f t="shared" si="13"/>
        <v>17951087.170599997</v>
      </c>
      <c r="F77" s="246">
        <f t="shared" si="13"/>
        <v>20586450.908499997</v>
      </c>
      <c r="G77" s="246">
        <f t="shared" si="13"/>
        <v>19867232.849999998</v>
      </c>
      <c r="H77" s="246">
        <f t="shared" si="13"/>
        <v>15513359.953499999</v>
      </c>
      <c r="I77" s="246">
        <f t="shared" si="13"/>
        <v>16264977.875</v>
      </c>
      <c r="J77" s="246">
        <f t="shared" si="13"/>
        <v>16428504.390000001</v>
      </c>
      <c r="K77" s="246">
        <f t="shared" si="13"/>
        <v>15086951.077500001</v>
      </c>
      <c r="L77" s="246">
        <f t="shared" si="13"/>
        <v>15626831.984999999</v>
      </c>
      <c r="M77" s="246">
        <f t="shared" si="13"/>
        <v>19349414.597999997</v>
      </c>
      <c r="N77" s="246">
        <f t="shared" si="13"/>
        <v>17351047.9835</v>
      </c>
      <c r="O77" s="246">
        <f t="shared" si="13"/>
        <v>15041019.93</v>
      </c>
      <c r="P77" s="246">
        <f t="shared" si="13"/>
        <v>22046671.864999998</v>
      </c>
      <c r="Q77" s="246">
        <f t="shared" si="13"/>
        <v>20078288.435000002</v>
      </c>
      <c r="R77" s="246">
        <f t="shared" si="13"/>
        <v>21523695.938999999</v>
      </c>
      <c r="S77" s="246">
        <f t="shared" si="13"/>
        <v>21152314.704499997</v>
      </c>
      <c r="T77" s="246">
        <f t="shared" si="13"/>
        <v>17145756.883499999</v>
      </c>
      <c r="U77" s="246">
        <f t="shared" si="13"/>
        <v>9550811.5</v>
      </c>
      <c r="V77" s="246">
        <f t="shared" si="13"/>
        <v>13241024.5</v>
      </c>
      <c r="W77" s="246">
        <f t="shared" si="13"/>
        <v>16748102</v>
      </c>
      <c r="X77" s="246">
        <f t="shared" si="13"/>
        <v>16774312</v>
      </c>
      <c r="Y77" s="246">
        <f t="shared" si="13"/>
        <v>25336924.5</v>
      </c>
      <c r="Z77" s="246">
        <f t="shared" si="13"/>
        <v>20931674.5</v>
      </c>
      <c r="AA77" s="246">
        <f t="shared" si="13"/>
        <v>15824699.5</v>
      </c>
      <c r="AB77" s="246">
        <f t="shared" si="13"/>
        <v>24659674.5</v>
      </c>
      <c r="AC77" s="246">
        <f t="shared" si="13"/>
        <v>28331061.999999996</v>
      </c>
      <c r="AD77" s="246">
        <f t="shared" si="13"/>
        <v>16449762</v>
      </c>
      <c r="AE77" s="247">
        <f t="shared" si="13"/>
        <v>13171836.9</v>
      </c>
    </row>
    <row r="79" spans="1:31" ht="13.5" thickBot="1" x14ac:dyDescent="0.35">
      <c r="A79" s="345"/>
    </row>
    <row r="80" spans="1:31" ht="13.5" thickBot="1" x14ac:dyDescent="0.35">
      <c r="A80" s="345"/>
      <c r="B80" s="347" t="s">
        <v>224</v>
      </c>
      <c r="C80" s="348" t="s">
        <v>225</v>
      </c>
      <c r="D80" s="348" t="s">
        <v>254</v>
      </c>
      <c r="E80" s="348" t="s">
        <v>255</v>
      </c>
      <c r="F80" s="348" t="s">
        <v>256</v>
      </c>
      <c r="G80" s="348" t="s">
        <v>257</v>
      </c>
      <c r="H80" s="348" t="s">
        <v>258</v>
      </c>
      <c r="I80" s="348" t="s">
        <v>259</v>
      </c>
      <c r="J80" s="348" t="s">
        <v>260</v>
      </c>
      <c r="K80" s="348" t="s">
        <v>261</v>
      </c>
      <c r="L80" s="348" t="s">
        <v>262</v>
      </c>
      <c r="M80" s="348" t="s">
        <v>263</v>
      </c>
      <c r="N80" s="348" t="s">
        <v>264</v>
      </c>
      <c r="O80" s="348" t="s">
        <v>265</v>
      </c>
      <c r="P80" s="348" t="s">
        <v>266</v>
      </c>
      <c r="Q80" s="348" t="s">
        <v>267</v>
      </c>
      <c r="R80" s="348" t="s">
        <v>268</v>
      </c>
      <c r="S80" s="348" t="s">
        <v>269</v>
      </c>
      <c r="T80" s="348" t="s">
        <v>270</v>
      </c>
      <c r="U80" s="349" t="s">
        <v>271</v>
      </c>
      <c r="V80" s="348" t="s">
        <v>272</v>
      </c>
      <c r="W80" s="348" t="s">
        <v>273</v>
      </c>
      <c r="X80" s="348" t="s">
        <v>274</v>
      </c>
      <c r="Y80" s="348" t="s">
        <v>357</v>
      </c>
      <c r="Z80" s="348" t="s">
        <v>358</v>
      </c>
      <c r="AA80" s="348" t="s">
        <v>359</v>
      </c>
      <c r="AB80" s="348" t="s">
        <v>360</v>
      </c>
      <c r="AC80" s="348" t="s">
        <v>361</v>
      </c>
      <c r="AD80" s="348" t="s">
        <v>362</v>
      </c>
      <c r="AE80" s="349" t="s">
        <v>363</v>
      </c>
    </row>
    <row r="81" spans="1:31" ht="13.5" thickBot="1" x14ac:dyDescent="0.35">
      <c r="A81" s="345"/>
      <c r="B81" s="77" t="s">
        <v>194</v>
      </c>
      <c r="C81" s="65" t="s">
        <v>195</v>
      </c>
      <c r="D81" s="65" t="s">
        <v>196</v>
      </c>
      <c r="E81" s="65" t="s">
        <v>197</v>
      </c>
      <c r="F81" s="65" t="s">
        <v>198</v>
      </c>
      <c r="G81" s="65" t="s">
        <v>199</v>
      </c>
      <c r="H81" s="65" t="s">
        <v>200</v>
      </c>
      <c r="I81" s="65" t="s">
        <v>201</v>
      </c>
      <c r="J81" s="65" t="s">
        <v>202</v>
      </c>
      <c r="K81" s="65" t="s">
        <v>203</v>
      </c>
      <c r="L81" s="65" t="s">
        <v>204</v>
      </c>
      <c r="M81" s="65" t="s">
        <v>205</v>
      </c>
      <c r="N81" s="65" t="s">
        <v>206</v>
      </c>
      <c r="O81" s="65" t="s">
        <v>207</v>
      </c>
      <c r="P81" s="65" t="s">
        <v>208</v>
      </c>
      <c r="Q81" s="65" t="s">
        <v>209</v>
      </c>
      <c r="R81" s="65" t="s">
        <v>210</v>
      </c>
      <c r="S81" s="65" t="s">
        <v>211</v>
      </c>
      <c r="T81" s="65" t="s">
        <v>212</v>
      </c>
      <c r="U81" s="78" t="s">
        <v>213</v>
      </c>
      <c r="V81" s="77" t="s">
        <v>214</v>
      </c>
      <c r="W81" s="65" t="s">
        <v>215</v>
      </c>
      <c r="X81" s="65" t="s">
        <v>216</v>
      </c>
      <c r="Y81" s="65" t="s">
        <v>217</v>
      </c>
      <c r="Z81" s="65" t="s">
        <v>218</v>
      </c>
      <c r="AA81" s="65" t="s">
        <v>219</v>
      </c>
      <c r="AB81" s="65" t="s">
        <v>220</v>
      </c>
      <c r="AC81" s="65" t="s">
        <v>221</v>
      </c>
      <c r="AD81" s="65" t="s">
        <v>222</v>
      </c>
      <c r="AE81" s="78" t="s">
        <v>223</v>
      </c>
    </row>
    <row r="82" spans="1:31" ht="13" x14ac:dyDescent="0.3">
      <c r="A82" s="305" t="s">
        <v>82</v>
      </c>
      <c r="B82" s="297">
        <f>B73/1000000</f>
        <v>28.918894999999999</v>
      </c>
      <c r="C82" s="296">
        <f t="shared" ref="C82:AE86" si="14">C73/1000000</f>
        <v>22.798638</v>
      </c>
      <c r="D82" s="296">
        <f t="shared" si="14"/>
        <v>23.220200999999999</v>
      </c>
      <c r="E82" s="296">
        <f t="shared" si="14"/>
        <v>24.412120000000002</v>
      </c>
      <c r="F82" s="296">
        <f t="shared" si="14"/>
        <v>28.760155999999998</v>
      </c>
      <c r="G82" s="296">
        <f t="shared" si="14"/>
        <v>13.628170942266394</v>
      </c>
      <c r="H82" s="296">
        <f t="shared" si="14"/>
        <v>25.617629040530481</v>
      </c>
      <c r="I82" s="296">
        <f t="shared" si="14"/>
        <v>20.102627598476861</v>
      </c>
      <c r="J82" s="296">
        <f t="shared" si="14"/>
        <v>48.289835714242805</v>
      </c>
      <c r="K82" s="296">
        <f t="shared" si="14"/>
        <v>21.777387322967893</v>
      </c>
      <c r="L82" s="296">
        <f t="shared" si="14"/>
        <v>22.999914594772221</v>
      </c>
      <c r="M82" s="296">
        <f t="shared" si="14"/>
        <v>13.976331297026992</v>
      </c>
      <c r="N82" s="296">
        <f t="shared" si="14"/>
        <v>19.707995651017864</v>
      </c>
      <c r="O82" s="296">
        <f t="shared" si="14"/>
        <v>25.002548984533885</v>
      </c>
      <c r="P82" s="296">
        <f t="shared" si="14"/>
        <v>20.531664556411993</v>
      </c>
      <c r="Q82" s="296">
        <f t="shared" si="14"/>
        <v>9.8619916638986584</v>
      </c>
      <c r="R82" s="296">
        <f t="shared" si="14"/>
        <v>14.171142402731947</v>
      </c>
      <c r="S82" s="296">
        <f t="shared" si="14"/>
        <v>11.089212293309849</v>
      </c>
      <c r="T82" s="296">
        <f t="shared" si="14"/>
        <v>16.843499770880193</v>
      </c>
      <c r="U82" s="298">
        <f t="shared" si="14"/>
        <v>7.6876302005491413</v>
      </c>
      <c r="V82" s="296">
        <f t="shared" si="14"/>
        <v>37.633249398826479</v>
      </c>
      <c r="W82" s="296">
        <f t="shared" si="14"/>
        <v>27.409524361533535</v>
      </c>
      <c r="X82" s="296">
        <f t="shared" si="14"/>
        <v>27.797432509865295</v>
      </c>
      <c r="Y82" s="296">
        <f t="shared" si="14"/>
        <v>24.635175134509861</v>
      </c>
      <c r="Z82" s="296">
        <f t="shared" si="14"/>
        <v>22.036333823411869</v>
      </c>
      <c r="AA82" s="296">
        <f t="shared" si="14"/>
        <v>21.195120845337559</v>
      </c>
      <c r="AB82" s="296">
        <f t="shared" si="14"/>
        <v>12.32102498759728</v>
      </c>
      <c r="AC82" s="296">
        <f t="shared" si="14"/>
        <v>5.2648408032016967</v>
      </c>
      <c r="AD82" s="296">
        <f t="shared" si="14"/>
        <v>5.116875060987832</v>
      </c>
      <c r="AE82" s="298">
        <f t="shared" si="14"/>
        <v>20.378841880585714</v>
      </c>
    </row>
    <row r="83" spans="1:31" ht="13" x14ac:dyDescent="0.3">
      <c r="A83" s="306" t="s">
        <v>84</v>
      </c>
      <c r="B83" s="79">
        <f t="shared" ref="B83:Q86" si="15">B74/1000000</f>
        <v>38.508848929999999</v>
      </c>
      <c r="C83" s="80">
        <f t="shared" si="15"/>
        <v>27.203706780000001</v>
      </c>
      <c r="D83" s="80">
        <f t="shared" si="15"/>
        <v>19.425628789999998</v>
      </c>
      <c r="E83" s="80">
        <f t="shared" si="15"/>
        <v>13.9068319</v>
      </c>
      <c r="F83" s="80">
        <f t="shared" si="15"/>
        <v>19.240153840000001</v>
      </c>
      <c r="G83" s="80">
        <f t="shared" si="15"/>
        <v>16.113331340512854</v>
      </c>
      <c r="H83" s="80">
        <f t="shared" si="15"/>
        <v>17.493117027980858</v>
      </c>
      <c r="I83" s="80">
        <f t="shared" si="15"/>
        <v>24.503969585995858</v>
      </c>
      <c r="J83" s="80">
        <f t="shared" si="15"/>
        <v>19.288640730843856</v>
      </c>
      <c r="K83" s="80">
        <f t="shared" si="15"/>
        <v>11.951717958580858</v>
      </c>
      <c r="L83" s="80">
        <f t="shared" si="15"/>
        <v>14.207356610000856</v>
      </c>
      <c r="M83" s="80">
        <f t="shared" si="15"/>
        <v>18.115421964170853</v>
      </c>
      <c r="N83" s="80">
        <f t="shared" si="15"/>
        <v>17.214024457220852</v>
      </c>
      <c r="O83" s="80">
        <f t="shared" si="15"/>
        <v>33.106229055498858</v>
      </c>
      <c r="P83" s="80">
        <f t="shared" si="15"/>
        <v>24.17923159263086</v>
      </c>
      <c r="Q83" s="80">
        <f t="shared" si="15"/>
        <v>18.043587408980855</v>
      </c>
      <c r="R83" s="80">
        <f t="shared" si="14"/>
        <v>17.08910884706086</v>
      </c>
      <c r="S83" s="80">
        <f t="shared" si="14"/>
        <v>18.230006394245851</v>
      </c>
      <c r="T83" s="80">
        <f t="shared" si="14"/>
        <v>24.796601456400857</v>
      </c>
      <c r="U83" s="244">
        <f t="shared" si="14"/>
        <v>17.397638918219858</v>
      </c>
      <c r="V83" s="80">
        <f t="shared" si="14"/>
        <v>6.5756713265075346</v>
      </c>
      <c r="W83" s="80">
        <f t="shared" si="14"/>
        <v>7.5475737834492138</v>
      </c>
      <c r="X83" s="80">
        <f t="shared" si="14"/>
        <v>13.089053452559444</v>
      </c>
      <c r="Y83" s="80">
        <f t="shared" si="14"/>
        <v>21.333220805219526</v>
      </c>
      <c r="Z83" s="80">
        <f t="shared" si="14"/>
        <v>18.386996812056765</v>
      </c>
      <c r="AA83" s="80">
        <f t="shared" si="14"/>
        <v>24.037139909258396</v>
      </c>
      <c r="AB83" s="80">
        <f t="shared" si="14"/>
        <v>23.703681309539281</v>
      </c>
      <c r="AC83" s="80">
        <f t="shared" si="14"/>
        <v>13.152532837988486</v>
      </c>
      <c r="AD83" s="80">
        <f t="shared" si="14"/>
        <v>19.608914167594811</v>
      </c>
      <c r="AE83" s="244">
        <f t="shared" si="14"/>
        <v>16.172771711574825</v>
      </c>
    </row>
    <row r="84" spans="1:31" ht="13" x14ac:dyDescent="0.3">
      <c r="A84" s="306" t="s">
        <v>356</v>
      </c>
      <c r="B84" s="79">
        <f t="shared" si="15"/>
        <v>4.3127019999999998</v>
      </c>
      <c r="C84" s="80">
        <f t="shared" si="14"/>
        <v>3.1982050000000002</v>
      </c>
      <c r="D84" s="80">
        <f t="shared" si="14"/>
        <v>3.3266719999999999</v>
      </c>
      <c r="E84" s="80">
        <f t="shared" si="14"/>
        <v>3.2544279999999999</v>
      </c>
      <c r="F84" s="80">
        <f t="shared" si="14"/>
        <v>1.5423439999999999</v>
      </c>
      <c r="G84" s="80">
        <f t="shared" si="14"/>
        <v>0.65461409682382232</v>
      </c>
      <c r="H84" s="80">
        <f t="shared" si="14"/>
        <v>2.5645647858544978</v>
      </c>
      <c r="I84" s="80">
        <f t="shared" si="14"/>
        <v>1.4381673339311247</v>
      </c>
      <c r="J84" s="80">
        <f t="shared" si="14"/>
        <v>0.58022613127566069</v>
      </c>
      <c r="K84" s="80">
        <f t="shared" si="14"/>
        <v>0.51575656113392065</v>
      </c>
      <c r="L84" s="80">
        <f t="shared" si="14"/>
        <v>5.5691790207056995</v>
      </c>
      <c r="M84" s="80">
        <f t="shared" si="14"/>
        <v>6.5924643380641443</v>
      </c>
      <c r="N84" s="80">
        <f t="shared" si="14"/>
        <v>0.76867564399767019</v>
      </c>
      <c r="O84" s="80">
        <f t="shared" si="14"/>
        <v>0.61989971290134682</v>
      </c>
      <c r="P84" s="80">
        <f t="shared" si="14"/>
        <v>2.4795988516053873</v>
      </c>
      <c r="Q84" s="80">
        <f t="shared" si="14"/>
        <v>1.1356562740352676</v>
      </c>
      <c r="R84" s="80">
        <f t="shared" si="14"/>
        <v>2.7065267793066097</v>
      </c>
      <c r="S84" s="80">
        <f t="shared" si="14"/>
        <v>1.0315131222678413</v>
      </c>
      <c r="T84" s="80">
        <f t="shared" si="14"/>
        <v>0.66949168993345476</v>
      </c>
      <c r="U84" s="244">
        <f t="shared" si="14"/>
        <v>1.0315131222678413</v>
      </c>
      <c r="V84" s="80">
        <f t="shared" si="14"/>
        <v>0.52</v>
      </c>
      <c r="W84" s="80">
        <f t="shared" si="14"/>
        <v>0.63</v>
      </c>
      <c r="X84" s="80">
        <f t="shared" si="14"/>
        <v>0.5</v>
      </c>
      <c r="Y84" s="80">
        <f t="shared" si="14"/>
        <v>0.34820699999999999</v>
      </c>
      <c r="Z84" s="80">
        <f t="shared" si="14"/>
        <v>0.35</v>
      </c>
      <c r="AA84" s="80">
        <f t="shared" si="14"/>
        <v>0.85</v>
      </c>
      <c r="AB84" s="80">
        <f t="shared" si="14"/>
        <v>0.72</v>
      </c>
      <c r="AC84" s="80">
        <f t="shared" si="14"/>
        <v>0.89283900199999999</v>
      </c>
      <c r="AD84" s="80">
        <f t="shared" si="14"/>
        <v>2.0499999999999998</v>
      </c>
      <c r="AE84" s="244">
        <f t="shared" si="14"/>
        <v>1.65</v>
      </c>
    </row>
    <row r="85" spans="1:31" ht="13" x14ac:dyDescent="0.3">
      <c r="A85" s="306" t="s">
        <v>354</v>
      </c>
      <c r="B85" s="79">
        <f t="shared" si="15"/>
        <v>4.6429181442009728</v>
      </c>
      <c r="C85" s="80">
        <f t="shared" si="14"/>
        <v>3.9255189329563636</v>
      </c>
      <c r="D85" s="80">
        <f t="shared" si="14"/>
        <v>3.6324372581435624</v>
      </c>
      <c r="E85" s="80">
        <f t="shared" si="14"/>
        <v>2.3250505970219622</v>
      </c>
      <c r="F85" s="80">
        <f t="shared" si="14"/>
        <v>2.2506883795683619</v>
      </c>
      <c r="G85" s="80">
        <f t="shared" si="14"/>
        <v>1.6154281666666666</v>
      </c>
      <c r="H85" s="80">
        <f t="shared" si="14"/>
        <v>2.0444776666666664</v>
      </c>
      <c r="I85" s="80">
        <f t="shared" si="14"/>
        <v>2.0612026666666665</v>
      </c>
      <c r="J85" s="80">
        <f t="shared" si="14"/>
        <v>1.9785061666666666</v>
      </c>
      <c r="K85" s="80">
        <f t="shared" si="14"/>
        <v>1.9744841666666666</v>
      </c>
      <c r="L85" s="80">
        <f t="shared" si="14"/>
        <v>2.1826801666666666</v>
      </c>
      <c r="M85" s="80">
        <f t="shared" si="14"/>
        <v>2.1070936666666666</v>
      </c>
      <c r="N85" s="80">
        <f t="shared" si="14"/>
        <v>2.2720961666666666</v>
      </c>
      <c r="O85" s="80">
        <f t="shared" si="14"/>
        <v>2.5123291666666665</v>
      </c>
      <c r="P85" s="80">
        <f t="shared" si="14"/>
        <v>2.1976066666666667</v>
      </c>
      <c r="Q85" s="80">
        <f t="shared" si="14"/>
        <v>2.6928476666666663</v>
      </c>
      <c r="R85" s="80">
        <f t="shared" si="14"/>
        <v>2.2730276666666667</v>
      </c>
      <c r="S85" s="80">
        <f t="shared" si="14"/>
        <v>2.2281486666666663</v>
      </c>
      <c r="T85" s="80">
        <f t="shared" si="14"/>
        <v>2.2582231666666663</v>
      </c>
      <c r="U85" s="244">
        <f t="shared" si="14"/>
        <v>2.3782651666666665</v>
      </c>
      <c r="V85" s="80">
        <f t="shared" si="14"/>
        <v>1.8501855</v>
      </c>
      <c r="W85" s="80">
        <f t="shared" si="14"/>
        <v>1.8741855000000001</v>
      </c>
      <c r="X85" s="80">
        <f t="shared" si="14"/>
        <v>2.2131854999999998</v>
      </c>
      <c r="Y85" s="80">
        <f t="shared" si="14"/>
        <v>2.2129354999999999</v>
      </c>
      <c r="Z85" s="80">
        <f t="shared" si="14"/>
        <v>2.1894355000000001</v>
      </c>
      <c r="AA85" s="80">
        <f t="shared" si="14"/>
        <v>2.2544355</v>
      </c>
      <c r="AB85" s="80">
        <f t="shared" si="14"/>
        <v>2.3129355</v>
      </c>
      <c r="AC85" s="80">
        <f t="shared" si="14"/>
        <v>2.2194354999999999</v>
      </c>
      <c r="AD85" s="80">
        <f t="shared" si="14"/>
        <v>1.7574354999999999</v>
      </c>
      <c r="AE85" s="244">
        <f t="shared" si="14"/>
        <v>1.9648730000000001</v>
      </c>
    </row>
    <row r="86" spans="1:31" ht="13.5" thickBot="1" x14ac:dyDescent="0.35">
      <c r="A86" s="343" t="s">
        <v>25</v>
      </c>
      <c r="B86" s="245">
        <f t="shared" si="15"/>
        <v>22.565712296273663</v>
      </c>
      <c r="C86" s="246">
        <f t="shared" si="14"/>
        <v>21.7655460418</v>
      </c>
      <c r="D86" s="246">
        <f t="shared" si="14"/>
        <v>18.912244275600003</v>
      </c>
      <c r="E86" s="246">
        <f t="shared" si="14"/>
        <v>17.951087170599997</v>
      </c>
      <c r="F86" s="246">
        <f t="shared" si="14"/>
        <v>20.586450908499998</v>
      </c>
      <c r="G86" s="246">
        <f t="shared" si="14"/>
        <v>19.867232849999997</v>
      </c>
      <c r="H86" s="246">
        <f t="shared" si="14"/>
        <v>15.513359953499998</v>
      </c>
      <c r="I86" s="246">
        <f t="shared" si="14"/>
        <v>16.264977875</v>
      </c>
      <c r="J86" s="246">
        <f t="shared" si="14"/>
        <v>16.428504390000001</v>
      </c>
      <c r="K86" s="246">
        <f t="shared" si="14"/>
        <v>15.0869510775</v>
      </c>
      <c r="L86" s="246">
        <f t="shared" si="14"/>
        <v>15.626831984999999</v>
      </c>
      <c r="M86" s="246">
        <f t="shared" si="14"/>
        <v>19.349414597999999</v>
      </c>
      <c r="N86" s="246">
        <f t="shared" si="14"/>
        <v>17.351047983499999</v>
      </c>
      <c r="O86" s="246">
        <f t="shared" si="14"/>
        <v>15.041019929999999</v>
      </c>
      <c r="P86" s="246">
        <f t="shared" si="14"/>
        <v>22.046671864999997</v>
      </c>
      <c r="Q86" s="246">
        <f t="shared" si="14"/>
        <v>20.078288435000001</v>
      </c>
      <c r="R86" s="246">
        <f t="shared" si="14"/>
        <v>21.523695939</v>
      </c>
      <c r="S86" s="246">
        <f t="shared" si="14"/>
        <v>21.152314704499997</v>
      </c>
      <c r="T86" s="246">
        <f t="shared" si="14"/>
        <v>17.145756883499999</v>
      </c>
      <c r="U86" s="247">
        <f t="shared" si="14"/>
        <v>9.5508115</v>
      </c>
      <c r="V86" s="246">
        <f t="shared" si="14"/>
        <v>13.2410245</v>
      </c>
      <c r="W86" s="246">
        <f t="shared" si="14"/>
        <v>16.748101999999999</v>
      </c>
      <c r="X86" s="246">
        <f t="shared" si="14"/>
        <v>16.774311999999998</v>
      </c>
      <c r="Y86" s="246">
        <f t="shared" si="14"/>
        <v>25.336924499999999</v>
      </c>
      <c r="Z86" s="246">
        <f t="shared" si="14"/>
        <v>20.9316745</v>
      </c>
      <c r="AA86" s="246">
        <f t="shared" si="14"/>
        <v>15.824699499999999</v>
      </c>
      <c r="AB86" s="246">
        <f t="shared" si="14"/>
        <v>24.659674500000001</v>
      </c>
      <c r="AC86" s="246">
        <f t="shared" si="14"/>
        <v>28.331061999999996</v>
      </c>
      <c r="AD86" s="246">
        <f t="shared" si="14"/>
        <v>16.449762</v>
      </c>
      <c r="AE86" s="247">
        <f t="shared" si="14"/>
        <v>13.171836900000001</v>
      </c>
    </row>
    <row r="87" spans="1:31" x14ac:dyDescent="0.25">
      <c r="A87" s="556" t="s">
        <v>372</v>
      </c>
      <c r="B87" s="501">
        <f>B22/1000000</f>
        <v>7.2324859999999997</v>
      </c>
    </row>
    <row r="88" spans="1:31" s="556" customFormat="1" x14ac:dyDescent="0.25">
      <c r="A88" s="556" t="s">
        <v>400</v>
      </c>
      <c r="B88" s="501">
        <f>SUM(B82:B86)</f>
        <v>98.949076370474629</v>
      </c>
      <c r="C88" s="501">
        <f t="shared" ref="C88:AE88" si="16">SUM(C82:C86)</f>
        <v>78.891614754756375</v>
      </c>
      <c r="D88" s="501">
        <f t="shared" si="16"/>
        <v>68.517183323743552</v>
      </c>
      <c r="E88" s="501">
        <f t="shared" si="16"/>
        <v>61.84951766762196</v>
      </c>
      <c r="F88" s="501">
        <f t="shared" si="16"/>
        <v>72.379793128068357</v>
      </c>
      <c r="G88" s="501">
        <f t="shared" si="16"/>
        <v>51.87877739626974</v>
      </c>
      <c r="H88" s="501">
        <f t="shared" si="16"/>
        <v>63.233148474532506</v>
      </c>
      <c r="I88" s="501">
        <f t="shared" si="16"/>
        <v>64.370945060070511</v>
      </c>
      <c r="J88" s="501">
        <f t="shared" si="16"/>
        <v>86.565713133028993</v>
      </c>
      <c r="K88" s="501">
        <f t="shared" si="16"/>
        <v>51.306297086849341</v>
      </c>
      <c r="L88" s="501">
        <f t="shared" si="16"/>
        <v>60.585962377145435</v>
      </c>
      <c r="M88" s="501">
        <f t="shared" si="16"/>
        <v>60.140725863928651</v>
      </c>
      <c r="N88" s="501">
        <f t="shared" si="16"/>
        <v>57.313839902403046</v>
      </c>
      <c r="O88" s="501">
        <f t="shared" si="16"/>
        <v>76.282026849600754</v>
      </c>
      <c r="P88" s="501">
        <f t="shared" si="16"/>
        <v>71.434773532314907</v>
      </c>
      <c r="Q88" s="501">
        <f t="shared" si="16"/>
        <v>51.812371448581445</v>
      </c>
      <c r="R88" s="501">
        <f t="shared" si="16"/>
        <v>57.763501634766079</v>
      </c>
      <c r="S88" s="501">
        <f t="shared" si="16"/>
        <v>53.731195180990213</v>
      </c>
      <c r="T88" s="501">
        <f t="shared" si="16"/>
        <v>61.713572967381168</v>
      </c>
      <c r="U88" s="501">
        <f t="shared" si="16"/>
        <v>38.045858907703504</v>
      </c>
      <c r="V88" s="501">
        <f t="shared" si="16"/>
        <v>59.820130725334018</v>
      </c>
      <c r="W88" s="501">
        <f t="shared" si="16"/>
        <v>54.20938564498276</v>
      </c>
      <c r="X88" s="501">
        <f t="shared" si="16"/>
        <v>60.373983462424746</v>
      </c>
      <c r="Y88" s="501">
        <f t="shared" si="16"/>
        <v>73.866462939729388</v>
      </c>
      <c r="Z88" s="501">
        <f t="shared" si="16"/>
        <v>63.894440635468634</v>
      </c>
      <c r="AA88" s="501">
        <f t="shared" si="16"/>
        <v>64.161395754595958</v>
      </c>
      <c r="AB88" s="501">
        <f t="shared" si="16"/>
        <v>63.717316297136563</v>
      </c>
      <c r="AC88" s="501">
        <f t="shared" si="16"/>
        <v>49.860710143190175</v>
      </c>
      <c r="AD88" s="501">
        <f t="shared" si="16"/>
        <v>44.982986728582645</v>
      </c>
      <c r="AE88" s="501">
        <f t="shared" si="16"/>
        <v>53.338323492160534</v>
      </c>
    </row>
    <row r="89" spans="1:31" ht="13" x14ac:dyDescent="0.3">
      <c r="A89" s="67" t="s">
        <v>399</v>
      </c>
      <c r="B89" s="562">
        <f>AVERAGE($B$88:$F$88)</f>
        <v>76.11743704893297</v>
      </c>
      <c r="C89" s="562">
        <f t="shared" ref="C89:F89" si="17">AVERAGE($B$88:$F$88)</f>
        <v>76.11743704893297</v>
      </c>
      <c r="D89" s="562">
        <f t="shared" si="17"/>
        <v>76.11743704893297</v>
      </c>
      <c r="E89" s="562">
        <f t="shared" si="17"/>
        <v>76.11743704893297</v>
      </c>
      <c r="F89" s="562">
        <f t="shared" si="17"/>
        <v>76.11743704893297</v>
      </c>
      <c r="G89" s="500">
        <f>AVERAGE($G$88:$U$88)</f>
        <v>60.411913987704423</v>
      </c>
      <c r="H89" s="500">
        <f t="shared" ref="H89:U89" si="18">AVERAGE($G$88:$U$88)</f>
        <v>60.411913987704423</v>
      </c>
      <c r="I89" s="500">
        <f t="shared" si="18"/>
        <v>60.411913987704423</v>
      </c>
      <c r="J89" s="500">
        <f t="shared" si="18"/>
        <v>60.411913987704423</v>
      </c>
      <c r="K89" s="500">
        <f t="shared" si="18"/>
        <v>60.411913987704423</v>
      </c>
      <c r="L89" s="500">
        <f t="shared" si="18"/>
        <v>60.411913987704423</v>
      </c>
      <c r="M89" s="500">
        <f t="shared" si="18"/>
        <v>60.411913987704423</v>
      </c>
      <c r="N89" s="500">
        <f t="shared" si="18"/>
        <v>60.411913987704423</v>
      </c>
      <c r="O89" s="500">
        <f t="shared" si="18"/>
        <v>60.411913987704423</v>
      </c>
      <c r="P89" s="500">
        <f t="shared" si="18"/>
        <v>60.411913987704423</v>
      </c>
      <c r="Q89" s="500">
        <f t="shared" si="18"/>
        <v>60.411913987704423</v>
      </c>
      <c r="R89" s="500">
        <f t="shared" si="18"/>
        <v>60.411913987704423</v>
      </c>
      <c r="S89" s="500">
        <f t="shared" si="18"/>
        <v>60.411913987704423</v>
      </c>
      <c r="T89" s="500">
        <f t="shared" si="18"/>
        <v>60.411913987704423</v>
      </c>
      <c r="U89" s="500">
        <f t="shared" si="18"/>
        <v>60.411913987704423</v>
      </c>
      <c r="V89" s="500"/>
      <c r="W89" s="500"/>
      <c r="X89" s="500"/>
      <c r="Y89" s="500"/>
      <c r="Z89" s="500"/>
      <c r="AA89" s="500"/>
      <c r="AB89" s="500"/>
      <c r="AC89" s="500"/>
      <c r="AD89" s="500"/>
      <c r="AE89" s="500"/>
    </row>
    <row r="118" spans="1:20" ht="13.5" thickBot="1" x14ac:dyDescent="0.35">
      <c r="A118" s="71" t="s">
        <v>365</v>
      </c>
      <c r="B118" s="353" t="str">
        <f>B81</f>
        <v>Year12</v>
      </c>
      <c r="C118" s="353" t="str">
        <f>C81</f>
        <v>Year13</v>
      </c>
      <c r="D118" s="353" t="str">
        <f>D81</f>
        <v>Year14</v>
      </c>
      <c r="E118" s="353" t="str">
        <f>E81</f>
        <v>Year15</v>
      </c>
      <c r="F118" s="353" t="str">
        <f>F81</f>
        <v>Year16</v>
      </c>
      <c r="G118" s="353" t="str">
        <f>G81</f>
        <v>Year17</v>
      </c>
      <c r="H118" s="353" t="str">
        <f>H81</f>
        <v>Year18</v>
      </c>
      <c r="I118" s="353" t="str">
        <f>I81</f>
        <v>Year19</v>
      </c>
      <c r="J118" s="353" t="str">
        <f>J81</f>
        <v>Year20</v>
      </c>
      <c r="K118" s="353" t="str">
        <f>K81</f>
        <v>Year21</v>
      </c>
      <c r="L118" s="353" t="str">
        <f>L81</f>
        <v>Year22</v>
      </c>
      <c r="M118" s="353" t="str">
        <f>M81</f>
        <v>Year23</v>
      </c>
      <c r="N118" s="353" t="str">
        <f>N81</f>
        <v>Year24</v>
      </c>
      <c r="O118" s="353" t="str">
        <f>O81</f>
        <v>Year25</v>
      </c>
      <c r="P118" s="353" t="str">
        <f>P81</f>
        <v>Year26</v>
      </c>
      <c r="Q118" s="353" t="str">
        <f>Q81</f>
        <v>Year27</v>
      </c>
      <c r="R118" s="353" t="str">
        <f>R81</f>
        <v>Year28</v>
      </c>
      <c r="S118" s="353" t="str">
        <f>S81</f>
        <v>Year29</v>
      </c>
      <c r="T118" s="353" t="str">
        <f>T81</f>
        <v>Year30</v>
      </c>
    </row>
    <row r="119" spans="1:20" x14ac:dyDescent="0.25">
      <c r="A119" s="358" t="s">
        <v>367</v>
      </c>
      <c r="B119" s="296">
        <f>B31</f>
        <v>83.615850074200978</v>
      </c>
      <c r="C119" s="296">
        <f>C31</f>
        <v>57.126068712956361</v>
      </c>
      <c r="D119" s="296">
        <f>D31</f>
        <v>49.604939048143557</v>
      </c>
      <c r="E119" s="296">
        <f>E31</f>
        <v>43.898430497021948</v>
      </c>
      <c r="F119" s="296">
        <f>F31</f>
        <v>51.793342219568366</v>
      </c>
      <c r="G119" s="296">
        <f>G31</f>
        <v>32.011544546269739</v>
      </c>
      <c r="H119" s="296">
        <f>H31</f>
        <v>47.719788521032498</v>
      </c>
      <c r="I119" s="296">
        <f>I31</f>
        <v>48.105967185070504</v>
      </c>
      <c r="J119" s="296">
        <f>J31</f>
        <v>70.137208743028978</v>
      </c>
      <c r="K119" s="296">
        <f>K31</f>
        <v>36.219346009349337</v>
      </c>
      <c r="L119" s="296">
        <f>L31</f>
        <v>44.95913039214544</v>
      </c>
      <c r="M119" s="296">
        <f>M31</f>
        <v>40.791311265928655</v>
      </c>
      <c r="N119" s="296">
        <f>N31</f>
        <v>39.962791918903044</v>
      </c>
      <c r="O119" s="296">
        <f>O31</f>
        <v>61.241006919600757</v>
      </c>
      <c r="P119" s="296">
        <f>P31</f>
        <v>49.388101667314899</v>
      </c>
      <c r="Q119" s="296">
        <f>Q31</f>
        <v>31.734083013581447</v>
      </c>
      <c r="R119" s="296">
        <f>R31</f>
        <v>36.239805695766087</v>
      </c>
      <c r="S119" s="296">
        <f>S31</f>
        <v>32.578880476490212</v>
      </c>
      <c r="T119" s="298">
        <f>T31</f>
        <v>44.567816083881169</v>
      </c>
    </row>
    <row r="120" spans="1:20" x14ac:dyDescent="0.25">
      <c r="A120" s="359" t="s">
        <v>366</v>
      </c>
      <c r="B120" s="80">
        <v>61.3821803507307</v>
      </c>
      <c r="C120" s="80">
        <v>51.74517843142025</v>
      </c>
      <c r="D120" s="80">
        <v>54.261146004077773</v>
      </c>
      <c r="E120" s="80">
        <v>59.923210637913151</v>
      </c>
      <c r="F120" s="80">
        <v>54.787692996853863</v>
      </c>
      <c r="G120" s="80">
        <v>41.7306493741727</v>
      </c>
      <c r="H120" s="80">
        <v>39.385492037573037</v>
      </c>
      <c r="I120" s="80">
        <v>44.701847724928044</v>
      </c>
      <c r="J120" s="80">
        <v>50.158968102133592</v>
      </c>
      <c r="K120" s="80">
        <v>56.581193624269794</v>
      </c>
      <c r="L120" s="80">
        <v>55.617084129197089</v>
      </c>
      <c r="M120" s="80">
        <v>56.620026798514559</v>
      </c>
      <c r="N120" s="80">
        <v>53.063243562798711</v>
      </c>
      <c r="O120" s="80">
        <v>37.23650092849693</v>
      </c>
      <c r="P120" s="80">
        <v>33.678481824094241</v>
      </c>
      <c r="Q120" s="80">
        <v>31.184693063587858</v>
      </c>
      <c r="R120" s="80">
        <v>36.379763227129146</v>
      </c>
      <c r="S120" s="80">
        <v>26.815784516042648</v>
      </c>
      <c r="T120" s="244">
        <v>2.4062637476383024</v>
      </c>
    </row>
    <row r="121" spans="1:20" x14ac:dyDescent="0.25">
      <c r="A121" s="359" t="s">
        <v>369</v>
      </c>
      <c r="B121" s="80">
        <f>B119</f>
        <v>83.615850074200978</v>
      </c>
      <c r="C121" s="80">
        <f>B121+C119</f>
        <v>140.74191878715735</v>
      </c>
      <c r="D121" s="80">
        <f>C121+D119</f>
        <v>190.34685783530091</v>
      </c>
      <c r="E121" s="80">
        <f t="shared" ref="E121:T121" si="19">D121+E119</f>
        <v>234.24528833232284</v>
      </c>
      <c r="F121" s="80">
        <f t="shared" si="19"/>
        <v>286.03863055189123</v>
      </c>
      <c r="G121" s="80">
        <f t="shared" si="19"/>
        <v>318.05017509816099</v>
      </c>
      <c r="H121" s="80">
        <f t="shared" si="19"/>
        <v>365.7699636191935</v>
      </c>
      <c r="I121" s="80">
        <f t="shared" si="19"/>
        <v>413.87593080426399</v>
      </c>
      <c r="J121" s="80">
        <f t="shared" si="19"/>
        <v>484.01313954729295</v>
      </c>
      <c r="K121" s="80">
        <f t="shared" si="19"/>
        <v>520.23248555664225</v>
      </c>
      <c r="L121" s="80">
        <f t="shared" si="19"/>
        <v>565.19161594878767</v>
      </c>
      <c r="M121" s="80">
        <f t="shared" si="19"/>
        <v>605.98292721471637</v>
      </c>
      <c r="N121" s="80">
        <f t="shared" si="19"/>
        <v>645.94571913361938</v>
      </c>
      <c r="O121" s="80">
        <f t="shared" si="19"/>
        <v>707.18672605322013</v>
      </c>
      <c r="P121" s="80">
        <f t="shared" si="19"/>
        <v>756.57482772053504</v>
      </c>
      <c r="Q121" s="80">
        <f t="shared" si="19"/>
        <v>788.30891073411647</v>
      </c>
      <c r="R121" s="80">
        <f t="shared" si="19"/>
        <v>824.54871642988257</v>
      </c>
      <c r="S121" s="80">
        <f t="shared" si="19"/>
        <v>857.12759690637279</v>
      </c>
      <c r="T121" s="244">
        <f t="shared" si="19"/>
        <v>901.695412990254</v>
      </c>
    </row>
    <row r="122" spans="1:20" ht="13" thickBot="1" x14ac:dyDescent="0.3">
      <c r="A122" s="360" t="s">
        <v>368</v>
      </c>
      <c r="B122" s="246">
        <f>B120</f>
        <v>61.3821803507307</v>
      </c>
      <c r="C122" s="246">
        <f>B122+C120</f>
        <v>113.12735878215095</v>
      </c>
      <c r="D122" s="246">
        <f>C122+D120</f>
        <v>167.38850478622874</v>
      </c>
      <c r="E122" s="246">
        <f t="shared" ref="E122:T122" si="20">D122+E120</f>
        <v>227.31171542414188</v>
      </c>
      <c r="F122" s="246">
        <f t="shared" si="20"/>
        <v>282.09940842099576</v>
      </c>
      <c r="G122" s="246">
        <f t="shared" si="20"/>
        <v>323.83005779516844</v>
      </c>
      <c r="H122" s="246">
        <f t="shared" si="20"/>
        <v>363.21554983274149</v>
      </c>
      <c r="I122" s="246">
        <f t="shared" si="20"/>
        <v>407.91739755766952</v>
      </c>
      <c r="J122" s="246">
        <f t="shared" si="20"/>
        <v>458.07636565980312</v>
      </c>
      <c r="K122" s="246">
        <f t="shared" si="20"/>
        <v>514.65755928407293</v>
      </c>
      <c r="L122" s="246">
        <f t="shared" si="20"/>
        <v>570.27464341327004</v>
      </c>
      <c r="M122" s="246">
        <f t="shared" si="20"/>
        <v>626.89467021178461</v>
      </c>
      <c r="N122" s="246">
        <f t="shared" si="20"/>
        <v>679.95791377458329</v>
      </c>
      <c r="O122" s="246">
        <f t="shared" si="20"/>
        <v>717.19441470308027</v>
      </c>
      <c r="P122" s="246">
        <f t="shared" si="20"/>
        <v>750.87289652717448</v>
      </c>
      <c r="Q122" s="246">
        <f t="shared" si="20"/>
        <v>782.05758959076229</v>
      </c>
      <c r="R122" s="246">
        <f t="shared" si="20"/>
        <v>818.43735281789145</v>
      </c>
      <c r="S122" s="246">
        <f t="shared" si="20"/>
        <v>845.25313733393409</v>
      </c>
      <c r="T122" s="247">
        <f t="shared" si="20"/>
        <v>847.65940108157235</v>
      </c>
    </row>
    <row r="123" spans="1:20" x14ac:dyDescent="0.25">
      <c r="A123" s="354" t="s">
        <v>248</v>
      </c>
      <c r="B123" s="363">
        <f>B121-B122</f>
        <v>22.233669723470278</v>
      </c>
      <c r="C123" s="364">
        <f t="shared" ref="C123:S123" si="21">C121-C122</f>
        <v>27.614560005006396</v>
      </c>
      <c r="D123" s="364">
        <f t="shared" si="21"/>
        <v>22.958353049072173</v>
      </c>
      <c r="E123" s="364">
        <f t="shared" si="21"/>
        <v>6.9335729081809632</v>
      </c>
      <c r="F123" s="364">
        <f t="shared" si="21"/>
        <v>3.9392221308954731</v>
      </c>
      <c r="G123" s="364">
        <f t="shared" si="21"/>
        <v>-5.7798826970074515</v>
      </c>
      <c r="H123" s="364">
        <f t="shared" si="21"/>
        <v>2.5544137864520167</v>
      </c>
      <c r="I123" s="364">
        <f t="shared" si="21"/>
        <v>5.9585332465944703</v>
      </c>
      <c r="J123" s="364">
        <f t="shared" si="21"/>
        <v>25.936773887489835</v>
      </c>
      <c r="K123" s="364">
        <f t="shared" si="21"/>
        <v>5.5749262725693143</v>
      </c>
      <c r="L123" s="364">
        <f t="shared" si="21"/>
        <v>-5.0830274644823703</v>
      </c>
      <c r="M123" s="364">
        <f t="shared" si="21"/>
        <v>-20.911742997068245</v>
      </c>
      <c r="N123" s="364">
        <f t="shared" si="21"/>
        <v>-34.012194640963912</v>
      </c>
      <c r="O123" s="364">
        <f t="shared" si="21"/>
        <v>-10.007688649860143</v>
      </c>
      <c r="P123" s="364">
        <f t="shared" si="21"/>
        <v>5.701931193360565</v>
      </c>
      <c r="Q123" s="364">
        <f t="shared" si="21"/>
        <v>6.2513211433541755</v>
      </c>
      <c r="R123" s="364">
        <f t="shared" si="21"/>
        <v>6.1113636119911234</v>
      </c>
      <c r="S123" s="364">
        <f t="shared" si="21"/>
        <v>11.874459572438695</v>
      </c>
      <c r="T123" s="368">
        <f>T121-T122</f>
        <v>54.036011908681644</v>
      </c>
    </row>
    <row r="124" spans="1:20" ht="13" thickBot="1" x14ac:dyDescent="0.3">
      <c r="A124" s="311" t="s">
        <v>370</v>
      </c>
      <c r="B124" s="361">
        <f>B123/B122</f>
        <v>0.36221700820058289</v>
      </c>
      <c r="C124" s="362">
        <f t="shared" ref="C124:S124" si="22">C123/C122</f>
        <v>0.24410151799074245</v>
      </c>
      <c r="D124" s="362">
        <f t="shared" si="22"/>
        <v>0.13715609132414561</v>
      </c>
      <c r="E124" s="362">
        <f t="shared" si="22"/>
        <v>3.0502488159237989E-2</v>
      </c>
      <c r="F124" s="362">
        <f t="shared" si="22"/>
        <v>1.3963950342698732E-2</v>
      </c>
      <c r="G124" s="362">
        <f t="shared" si="22"/>
        <v>-1.7848505899546202E-2</v>
      </c>
      <c r="H124" s="362">
        <f t="shared" si="22"/>
        <v>7.0327765086828148E-3</v>
      </c>
      <c r="I124" s="362">
        <f t="shared" si="22"/>
        <v>1.4607205483929084E-2</v>
      </c>
      <c r="J124" s="362">
        <f t="shared" si="22"/>
        <v>5.6621069829985826E-2</v>
      </c>
      <c r="K124" s="362">
        <f t="shared" si="22"/>
        <v>1.0832302318311331E-2</v>
      </c>
      <c r="L124" s="362">
        <f t="shared" si="22"/>
        <v>-8.913297343993553E-3</v>
      </c>
      <c r="M124" s="362">
        <f t="shared" si="22"/>
        <v>-3.335766595368183E-2</v>
      </c>
      <c r="N124" s="362">
        <f t="shared" si="22"/>
        <v>-5.0021029172460645E-2</v>
      </c>
      <c r="O124" s="362">
        <f t="shared" si="22"/>
        <v>-1.3953941141612686E-2</v>
      </c>
      <c r="P124" s="362">
        <f t="shared" si="22"/>
        <v>7.593736862433427E-3</v>
      </c>
      <c r="Q124" s="362">
        <f t="shared" si="22"/>
        <v>7.9934281395125737E-3</v>
      </c>
      <c r="R124" s="362">
        <f t="shared" si="22"/>
        <v>7.4671122853198369E-3</v>
      </c>
      <c r="S124" s="362">
        <f t="shared" si="22"/>
        <v>1.4048406386153943E-2</v>
      </c>
      <c r="T124" s="369">
        <f>T123/T122</f>
        <v>6.3747316244867111E-2</v>
      </c>
    </row>
    <row r="125" spans="1:20" x14ac:dyDescent="0.25">
      <c r="A125" s="556" t="s">
        <v>379</v>
      </c>
      <c r="B125" s="501">
        <f>MIN(B121,B122)</f>
        <v>61.3821803507307</v>
      </c>
      <c r="C125" s="501">
        <f t="shared" ref="C125:T125" si="23">MIN(C121,C122)</f>
        <v>113.12735878215095</v>
      </c>
      <c r="D125" s="501">
        <f t="shared" si="23"/>
        <v>167.38850478622874</v>
      </c>
      <c r="E125" s="501">
        <f t="shared" si="23"/>
        <v>227.31171542414188</v>
      </c>
      <c r="F125" s="501">
        <f t="shared" si="23"/>
        <v>282.09940842099576</v>
      </c>
      <c r="G125" s="501">
        <f t="shared" si="23"/>
        <v>318.05017509816099</v>
      </c>
      <c r="H125" s="501">
        <f t="shared" si="23"/>
        <v>363.21554983274149</v>
      </c>
      <c r="I125" s="501">
        <f t="shared" si="23"/>
        <v>407.91739755766952</v>
      </c>
      <c r="J125" s="501">
        <f t="shared" si="23"/>
        <v>458.07636565980312</v>
      </c>
      <c r="K125" s="501">
        <f t="shared" si="23"/>
        <v>514.65755928407293</v>
      </c>
      <c r="L125" s="501">
        <f t="shared" si="23"/>
        <v>565.19161594878767</v>
      </c>
      <c r="M125" s="501">
        <f t="shared" si="23"/>
        <v>605.98292721471637</v>
      </c>
      <c r="N125" s="501">
        <f t="shared" si="23"/>
        <v>645.94571913361938</v>
      </c>
      <c r="O125" s="501">
        <f t="shared" si="23"/>
        <v>707.18672605322013</v>
      </c>
      <c r="P125" s="501">
        <f t="shared" si="23"/>
        <v>750.87289652717448</v>
      </c>
      <c r="Q125" s="501">
        <f t="shared" si="23"/>
        <v>782.05758959076229</v>
      </c>
      <c r="R125" s="501">
        <f t="shared" si="23"/>
        <v>818.43735281789145</v>
      </c>
      <c r="S125" s="501">
        <f t="shared" si="23"/>
        <v>845.25313733393409</v>
      </c>
      <c r="T125" s="501">
        <f t="shared" si="23"/>
        <v>847.65940108157235</v>
      </c>
    </row>
    <row r="126" spans="1:20" x14ac:dyDescent="0.25">
      <c r="A126" s="556" t="s">
        <v>380</v>
      </c>
      <c r="B126" s="501">
        <f>MIN(B119,B120)</f>
        <v>61.3821803507307</v>
      </c>
      <c r="C126" s="501">
        <f t="shared" ref="C126:T126" si="24">MIN(C119,C120)</f>
        <v>51.74517843142025</v>
      </c>
      <c r="D126" s="501">
        <f t="shared" si="24"/>
        <v>49.604939048143557</v>
      </c>
      <c r="E126" s="501">
        <f t="shared" si="24"/>
        <v>43.898430497021948</v>
      </c>
      <c r="F126" s="501">
        <f t="shared" si="24"/>
        <v>51.793342219568366</v>
      </c>
      <c r="G126" s="501">
        <f t="shared" si="24"/>
        <v>32.011544546269739</v>
      </c>
      <c r="H126" s="501">
        <f t="shared" si="24"/>
        <v>39.385492037573037</v>
      </c>
      <c r="I126" s="501">
        <f t="shared" si="24"/>
        <v>44.701847724928044</v>
      </c>
      <c r="J126" s="501">
        <f t="shared" si="24"/>
        <v>50.158968102133592</v>
      </c>
      <c r="K126" s="501">
        <f t="shared" si="24"/>
        <v>36.219346009349337</v>
      </c>
      <c r="L126" s="501">
        <f>MIN(L119,L120)</f>
        <v>44.95913039214544</v>
      </c>
      <c r="M126" s="501">
        <f t="shared" si="24"/>
        <v>40.791311265928655</v>
      </c>
      <c r="N126" s="501">
        <f t="shared" si="24"/>
        <v>39.962791918903044</v>
      </c>
      <c r="O126" s="501">
        <f t="shared" si="24"/>
        <v>37.23650092849693</v>
      </c>
      <c r="P126" s="501">
        <f t="shared" si="24"/>
        <v>33.678481824094241</v>
      </c>
      <c r="Q126" s="501">
        <f t="shared" si="24"/>
        <v>31.184693063587858</v>
      </c>
      <c r="R126" s="501">
        <f t="shared" si="24"/>
        <v>36.239805695766087</v>
      </c>
      <c r="S126" s="501">
        <f t="shared" si="24"/>
        <v>26.815784516042648</v>
      </c>
      <c r="T126" s="501">
        <f t="shared" si="24"/>
        <v>2.4062637476383024</v>
      </c>
    </row>
  </sheetData>
  <phoneticPr fontId="17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661C-4D0D-433D-B0D9-ECF3865D9B75}">
  <dimension ref="A1:W170"/>
  <sheetViews>
    <sheetView topLeftCell="A111" zoomScale="80" zoomScaleNormal="80" workbookViewId="0">
      <selection activeCell="L166" sqref="L166"/>
    </sheetView>
  </sheetViews>
  <sheetFormatPr defaultRowHeight="14.5" x14ac:dyDescent="0.35"/>
  <cols>
    <col min="1" max="1" width="11.08984375" customWidth="1"/>
    <col min="2" max="2" width="35.6328125" customWidth="1"/>
    <col min="3" max="4" width="10.26953125" customWidth="1"/>
    <col min="5" max="20" width="15.6328125" customWidth="1"/>
    <col min="21" max="21" width="18.26953125" customWidth="1"/>
    <col min="22" max="22" width="15.36328125" customWidth="1"/>
    <col min="23" max="23" width="13.36328125" customWidth="1"/>
  </cols>
  <sheetData>
    <row r="1" spans="1:23" ht="15" thickBot="1" x14ac:dyDescent="0.4">
      <c r="A1" s="122" t="s">
        <v>1</v>
      </c>
      <c r="B1" s="121" t="s">
        <v>243</v>
      </c>
      <c r="C1" s="121" t="s">
        <v>3</v>
      </c>
      <c r="D1" s="121" t="s">
        <v>242</v>
      </c>
      <c r="E1" s="120">
        <v>2024</v>
      </c>
      <c r="F1" s="120">
        <v>2025</v>
      </c>
      <c r="G1" s="120">
        <v>2026</v>
      </c>
      <c r="H1" s="120">
        <v>2027</v>
      </c>
      <c r="I1" s="120">
        <v>2028</v>
      </c>
      <c r="J1" s="120">
        <v>2029</v>
      </c>
      <c r="K1" s="120">
        <v>2030</v>
      </c>
      <c r="L1" s="120">
        <v>2031</v>
      </c>
      <c r="M1" s="120">
        <v>2032</v>
      </c>
      <c r="N1" s="120">
        <v>2033</v>
      </c>
      <c r="O1" s="120">
        <v>2034</v>
      </c>
      <c r="P1" s="120">
        <v>2035</v>
      </c>
      <c r="Q1" s="120">
        <v>2036</v>
      </c>
      <c r="R1" s="120">
        <v>2037</v>
      </c>
      <c r="S1" s="120">
        <v>2038</v>
      </c>
      <c r="T1" s="120">
        <v>2039</v>
      </c>
      <c r="U1" s="119" t="s">
        <v>247</v>
      </c>
      <c r="V1" s="91" t="s">
        <v>249</v>
      </c>
      <c r="W1" t="s">
        <v>248</v>
      </c>
    </row>
    <row r="2" spans="1:23" x14ac:dyDescent="0.35">
      <c r="A2" s="117" t="s">
        <v>136</v>
      </c>
      <c r="B2" s="214" t="s">
        <v>137</v>
      </c>
      <c r="C2" s="116" t="s">
        <v>23</v>
      </c>
      <c r="D2" s="115"/>
      <c r="E2" s="502">
        <f>MAX(E28+(E54-E28)*$D2, E28)</f>
        <v>1683.4000000000003</v>
      </c>
      <c r="F2" s="503">
        <f t="shared" ref="F2:T2" si="0">MAX(F28+(F54-F28)*$D2, F28)</f>
        <v>272.59999999999997</v>
      </c>
      <c r="G2" s="503">
        <f t="shared" si="0"/>
        <v>104.4</v>
      </c>
      <c r="H2" s="503">
        <f t="shared" si="0"/>
        <v>36.4</v>
      </c>
      <c r="I2" s="503">
        <f t="shared" si="0"/>
        <v>1099.492</v>
      </c>
      <c r="J2" s="503">
        <f t="shared" si="0"/>
        <v>1638.2</v>
      </c>
      <c r="K2" s="503">
        <f t="shared" si="0"/>
        <v>150.4</v>
      </c>
      <c r="L2" s="503">
        <f t="shared" si="0"/>
        <v>0</v>
      </c>
      <c r="M2" s="503">
        <f t="shared" si="0"/>
        <v>0</v>
      </c>
      <c r="N2" s="503">
        <f t="shared" si="0"/>
        <v>2314.7200000000007</v>
      </c>
      <c r="O2" s="503">
        <f t="shared" si="0"/>
        <v>36.799999999999997</v>
      </c>
      <c r="P2" s="503">
        <f t="shared" si="0"/>
        <v>44</v>
      </c>
      <c r="Q2" s="503">
        <f t="shared" si="0"/>
        <v>34.4</v>
      </c>
      <c r="R2" s="503">
        <f t="shared" si="0"/>
        <v>70.599999999999994</v>
      </c>
      <c r="S2" s="503">
        <f t="shared" si="0"/>
        <v>0</v>
      </c>
      <c r="T2" s="504">
        <f t="shared" si="0"/>
        <v>660</v>
      </c>
      <c r="U2" s="371">
        <f t="shared" ref="U2:U24" si="1">SUM(E2:T2)/16</f>
        <v>509.08825000000007</v>
      </c>
      <c r="V2" s="204">
        <f t="shared" ref="V2:V24" si="2">U28</f>
        <v>509.08825000000007</v>
      </c>
      <c r="W2" s="204">
        <f t="shared" ref="W2:W24" si="3">U2-V2</f>
        <v>0</v>
      </c>
    </row>
    <row r="3" spans="1:23" x14ac:dyDescent="0.35">
      <c r="A3" s="112" t="s">
        <v>136</v>
      </c>
      <c r="B3" s="213" t="s">
        <v>138</v>
      </c>
      <c r="C3" s="111" t="s">
        <v>139</v>
      </c>
      <c r="D3" s="110">
        <v>0.3</v>
      </c>
      <c r="E3" s="212">
        <f t="shared" ref="E3:T24" si="4">MAX(E29+(E55-E29)*$D3, E29)</f>
        <v>181.5</v>
      </c>
      <c r="F3" s="211">
        <f t="shared" si="4"/>
        <v>90</v>
      </c>
      <c r="G3" s="211">
        <f t="shared" si="4"/>
        <v>8</v>
      </c>
      <c r="H3" s="211">
        <f t="shared" si="4"/>
        <v>89.5</v>
      </c>
      <c r="I3" s="211">
        <f t="shared" si="4"/>
        <v>153.39999999999998</v>
      </c>
      <c r="J3" s="211">
        <f t="shared" si="4"/>
        <v>129</v>
      </c>
      <c r="K3" s="211">
        <f t="shared" si="4"/>
        <v>116</v>
      </c>
      <c r="L3" s="211">
        <f t="shared" si="4"/>
        <v>143</v>
      </c>
      <c r="M3" s="211">
        <f t="shared" si="4"/>
        <v>119</v>
      </c>
      <c r="N3" s="211">
        <f t="shared" si="4"/>
        <v>150</v>
      </c>
      <c r="O3" s="211">
        <f t="shared" si="4"/>
        <v>306</v>
      </c>
      <c r="P3" s="211">
        <f t="shared" si="4"/>
        <v>37.299999999999997</v>
      </c>
      <c r="Q3" s="211">
        <f t="shared" si="4"/>
        <v>7.5</v>
      </c>
      <c r="R3" s="211">
        <f t="shared" si="4"/>
        <v>113.5</v>
      </c>
      <c r="S3" s="211">
        <f t="shared" si="4"/>
        <v>247</v>
      </c>
      <c r="T3" s="365">
        <f t="shared" si="4"/>
        <v>221</v>
      </c>
      <c r="U3" s="372">
        <f t="shared" si="1"/>
        <v>131.98124999999999</v>
      </c>
      <c r="V3" s="204">
        <f t="shared" si="2"/>
        <v>111.6</v>
      </c>
      <c r="W3" s="204">
        <f t="shared" si="3"/>
        <v>20.381249999999994</v>
      </c>
    </row>
    <row r="4" spans="1:23" x14ac:dyDescent="0.35">
      <c r="A4" s="112" t="s">
        <v>136</v>
      </c>
      <c r="B4" s="213" t="s">
        <v>140</v>
      </c>
      <c r="C4" s="111" t="s">
        <v>22</v>
      </c>
      <c r="D4" s="110">
        <v>0.97</v>
      </c>
      <c r="E4" s="212">
        <f t="shared" si="4"/>
        <v>101.04</v>
      </c>
      <c r="F4" s="211">
        <f t="shared" si="4"/>
        <v>45.1</v>
      </c>
      <c r="G4" s="211">
        <f t="shared" si="4"/>
        <v>1458.3700000000001</v>
      </c>
      <c r="H4" s="211">
        <f t="shared" si="4"/>
        <v>24482.039520000002</v>
      </c>
      <c r="I4" s="211">
        <f t="shared" si="4"/>
        <v>98.008800000000008</v>
      </c>
      <c r="J4" s="211">
        <f t="shared" si="4"/>
        <v>0</v>
      </c>
      <c r="K4" s="211">
        <f t="shared" si="4"/>
        <v>601.46999999999991</v>
      </c>
      <c r="L4" s="211">
        <f t="shared" si="4"/>
        <v>0</v>
      </c>
      <c r="M4" s="211">
        <f t="shared" si="4"/>
        <v>0</v>
      </c>
      <c r="N4" s="211">
        <f t="shared" si="4"/>
        <v>908.56000000000006</v>
      </c>
      <c r="O4" s="211">
        <f t="shared" si="4"/>
        <v>46.739999999999995</v>
      </c>
      <c r="P4" s="211">
        <f t="shared" si="4"/>
        <v>12547.52</v>
      </c>
      <c r="Q4" s="211">
        <f t="shared" si="4"/>
        <v>0</v>
      </c>
      <c r="R4" s="211">
        <f t="shared" si="4"/>
        <v>0</v>
      </c>
      <c r="S4" s="211">
        <f t="shared" si="4"/>
        <v>15.17</v>
      </c>
      <c r="T4" s="365">
        <f t="shared" si="4"/>
        <v>9997.3640000000014</v>
      </c>
      <c r="U4" s="372">
        <f t="shared" si="1"/>
        <v>3143.8363950000003</v>
      </c>
      <c r="V4" s="204">
        <f t="shared" si="2"/>
        <v>1714.7556000000002</v>
      </c>
      <c r="W4" s="204">
        <f t="shared" si="3"/>
        <v>1429.0807950000001</v>
      </c>
    </row>
    <row r="5" spans="1:23" x14ac:dyDescent="0.35">
      <c r="A5" s="112" t="s">
        <v>136</v>
      </c>
      <c r="B5" s="213" t="s">
        <v>141</v>
      </c>
      <c r="C5" s="111" t="s">
        <v>22</v>
      </c>
      <c r="D5" s="110">
        <v>0.97</v>
      </c>
      <c r="E5" s="212">
        <f t="shared" si="4"/>
        <v>507.9</v>
      </c>
      <c r="F5" s="211">
        <f t="shared" si="4"/>
        <v>615.28</v>
      </c>
      <c r="G5" s="211">
        <f t="shared" si="4"/>
        <v>0</v>
      </c>
      <c r="H5" s="211">
        <f t="shared" si="4"/>
        <v>1607.2</v>
      </c>
      <c r="I5" s="211">
        <f t="shared" si="4"/>
        <v>1066</v>
      </c>
      <c r="J5" s="211">
        <f t="shared" si="4"/>
        <v>0</v>
      </c>
      <c r="K5" s="211">
        <f t="shared" si="4"/>
        <v>292.5</v>
      </c>
      <c r="L5" s="211">
        <f t="shared" si="4"/>
        <v>2144.712</v>
      </c>
      <c r="M5" s="211">
        <f t="shared" si="4"/>
        <v>0</v>
      </c>
      <c r="N5" s="211">
        <f t="shared" si="4"/>
        <v>0</v>
      </c>
      <c r="O5" s="211">
        <f t="shared" si="4"/>
        <v>0</v>
      </c>
      <c r="P5" s="211">
        <f t="shared" si="4"/>
        <v>689.4</v>
      </c>
      <c r="Q5" s="211">
        <f t="shared" si="4"/>
        <v>0</v>
      </c>
      <c r="R5" s="211">
        <f t="shared" si="4"/>
        <v>0</v>
      </c>
      <c r="S5" s="211">
        <f t="shared" si="4"/>
        <v>0</v>
      </c>
      <c r="T5" s="365">
        <f t="shared" si="4"/>
        <v>1074.396</v>
      </c>
      <c r="U5" s="372">
        <f t="shared" si="1"/>
        <v>499.83674999999999</v>
      </c>
      <c r="V5" s="204">
        <f t="shared" si="2"/>
        <v>533.15919999999994</v>
      </c>
      <c r="W5" s="204">
        <f t="shared" si="3"/>
        <v>-33.322449999999947</v>
      </c>
    </row>
    <row r="6" spans="1:23" x14ac:dyDescent="0.35">
      <c r="A6" s="112" t="s">
        <v>136</v>
      </c>
      <c r="B6" s="213" t="s">
        <v>142</v>
      </c>
      <c r="C6" s="111" t="s">
        <v>22</v>
      </c>
      <c r="D6" s="110">
        <v>0.97</v>
      </c>
      <c r="E6" s="212">
        <f t="shared" si="4"/>
        <v>1048.9351000000001</v>
      </c>
      <c r="F6" s="211">
        <f t="shared" si="4"/>
        <v>437.67127500000009</v>
      </c>
      <c r="G6" s="211">
        <f t="shared" si="4"/>
        <v>0</v>
      </c>
      <c r="H6" s="211">
        <f t="shared" si="4"/>
        <v>1526.2504049999998</v>
      </c>
      <c r="I6" s="211">
        <f t="shared" si="4"/>
        <v>427.26802500000008</v>
      </c>
      <c r="J6" s="211">
        <f t="shared" si="4"/>
        <v>1271.8019999999997</v>
      </c>
      <c r="K6" s="211">
        <f t="shared" si="4"/>
        <v>560.928</v>
      </c>
      <c r="L6" s="211">
        <f t="shared" si="4"/>
        <v>1071.3711000000001</v>
      </c>
      <c r="M6" s="211">
        <f t="shared" si="4"/>
        <v>0</v>
      </c>
      <c r="N6" s="211">
        <f t="shared" si="4"/>
        <v>354.38864000000001</v>
      </c>
      <c r="O6" s="211">
        <f t="shared" si="4"/>
        <v>561.8125</v>
      </c>
      <c r="P6" s="211">
        <f t="shared" si="4"/>
        <v>3547.651499999999</v>
      </c>
      <c r="Q6" s="211">
        <f t="shared" si="4"/>
        <v>1048.9351000000001</v>
      </c>
      <c r="R6" s="211">
        <f t="shared" si="4"/>
        <v>0</v>
      </c>
      <c r="S6" s="211">
        <f t="shared" si="4"/>
        <v>0</v>
      </c>
      <c r="T6" s="365">
        <f t="shared" si="4"/>
        <v>13413.997523000015</v>
      </c>
      <c r="U6" s="372">
        <f t="shared" si="1"/>
        <v>1579.438198000001</v>
      </c>
      <c r="V6" s="204">
        <f t="shared" si="2"/>
        <v>725.55317333333335</v>
      </c>
      <c r="W6" s="204">
        <f t="shared" si="3"/>
        <v>853.88502466666762</v>
      </c>
    </row>
    <row r="7" spans="1:23" x14ac:dyDescent="0.35">
      <c r="A7" s="112" t="s">
        <v>136</v>
      </c>
      <c r="B7" s="213" t="s">
        <v>143</v>
      </c>
      <c r="C7" s="111" t="s">
        <v>22</v>
      </c>
      <c r="D7" s="110">
        <v>0.97</v>
      </c>
      <c r="E7" s="212">
        <f t="shared" si="4"/>
        <v>2839.2834999999991</v>
      </c>
      <c r="F7" s="211">
        <f t="shared" si="4"/>
        <v>0</v>
      </c>
      <c r="G7" s="211">
        <f t="shared" si="4"/>
        <v>0</v>
      </c>
      <c r="H7" s="211">
        <f t="shared" si="4"/>
        <v>0</v>
      </c>
      <c r="I7" s="211">
        <f t="shared" si="4"/>
        <v>0</v>
      </c>
      <c r="J7" s="211">
        <f t="shared" si="4"/>
        <v>0</v>
      </c>
      <c r="K7" s="211">
        <f t="shared" si="4"/>
        <v>0</v>
      </c>
      <c r="L7" s="211">
        <f t="shared" si="4"/>
        <v>44.639400000000002</v>
      </c>
      <c r="M7" s="211">
        <f t="shared" si="4"/>
        <v>0</v>
      </c>
      <c r="N7" s="211">
        <f t="shared" si="4"/>
        <v>47.94</v>
      </c>
      <c r="O7" s="211">
        <f t="shared" si="4"/>
        <v>0</v>
      </c>
      <c r="P7" s="211">
        <f t="shared" si="4"/>
        <v>0</v>
      </c>
      <c r="Q7" s="211">
        <f t="shared" si="4"/>
        <v>0</v>
      </c>
      <c r="R7" s="211">
        <f t="shared" si="4"/>
        <v>47.43</v>
      </c>
      <c r="S7" s="211">
        <f t="shared" si="4"/>
        <v>11.02</v>
      </c>
      <c r="T7" s="365">
        <f t="shared" si="4"/>
        <v>1021.6688749999995</v>
      </c>
      <c r="U7" s="372">
        <f t="shared" si="1"/>
        <v>250.7488609374999</v>
      </c>
      <c r="V7" s="204">
        <f t="shared" si="2"/>
        <v>202.55256666666659</v>
      </c>
      <c r="W7" s="204">
        <f t="shared" si="3"/>
        <v>48.196294270833306</v>
      </c>
    </row>
    <row r="8" spans="1:23" x14ac:dyDescent="0.35">
      <c r="A8" s="112" t="s">
        <v>136</v>
      </c>
      <c r="B8" s="213" t="s">
        <v>144</v>
      </c>
      <c r="C8" s="111" t="s">
        <v>22</v>
      </c>
      <c r="D8" s="110">
        <v>0.97</v>
      </c>
      <c r="E8" s="212">
        <f t="shared" si="4"/>
        <v>8.6394000000000002</v>
      </c>
      <c r="F8" s="211">
        <f t="shared" si="4"/>
        <v>0</v>
      </c>
      <c r="G8" s="211">
        <f t="shared" si="4"/>
        <v>0</v>
      </c>
      <c r="H8" s="211">
        <f t="shared" si="4"/>
        <v>17.907</v>
      </c>
      <c r="I8" s="211">
        <f t="shared" si="4"/>
        <v>8.9535</v>
      </c>
      <c r="J8" s="211">
        <f t="shared" si="4"/>
        <v>155.50919999999999</v>
      </c>
      <c r="K8" s="211">
        <f t="shared" si="4"/>
        <v>17.5929</v>
      </c>
      <c r="L8" s="211">
        <f t="shared" si="4"/>
        <v>106.8139</v>
      </c>
      <c r="M8" s="211">
        <f t="shared" si="4"/>
        <v>0</v>
      </c>
      <c r="N8" s="211">
        <f t="shared" si="4"/>
        <v>0</v>
      </c>
      <c r="O8" s="211">
        <f t="shared" si="4"/>
        <v>245.33519999999999</v>
      </c>
      <c r="P8" s="211">
        <f t="shared" si="4"/>
        <v>26.860500000000002</v>
      </c>
      <c r="Q8" s="211">
        <f t="shared" si="4"/>
        <v>8.6394000000000002</v>
      </c>
      <c r="R8" s="211">
        <f t="shared" si="4"/>
        <v>8.3802179999999993</v>
      </c>
      <c r="S8" s="211">
        <f t="shared" si="4"/>
        <v>0</v>
      </c>
      <c r="T8" s="365">
        <f t="shared" si="4"/>
        <v>128.830186</v>
      </c>
      <c r="U8" s="372">
        <f t="shared" si="1"/>
        <v>45.841337750000001</v>
      </c>
      <c r="V8" s="204">
        <f t="shared" si="2"/>
        <v>40.943866666666665</v>
      </c>
      <c r="W8" s="204">
        <f t="shared" si="3"/>
        <v>4.8974710833333361</v>
      </c>
    </row>
    <row r="9" spans="1:23" x14ac:dyDescent="0.35">
      <c r="A9" s="112" t="s">
        <v>136</v>
      </c>
      <c r="B9" s="213" t="s">
        <v>145</v>
      </c>
      <c r="C9" s="111" t="s">
        <v>23</v>
      </c>
      <c r="D9" s="110"/>
      <c r="E9" s="212">
        <f t="shared" si="4"/>
        <v>1166.1300000000001</v>
      </c>
      <c r="F9" s="211">
        <f t="shared" si="4"/>
        <v>1638.1999999999989</v>
      </c>
      <c r="G9" s="211">
        <f t="shared" si="4"/>
        <v>1753.9599999999996</v>
      </c>
      <c r="H9" s="211">
        <f t="shared" si="4"/>
        <v>1315.3399999999997</v>
      </c>
      <c r="I9" s="211">
        <f t="shared" si="4"/>
        <v>1304.6300000000001</v>
      </c>
      <c r="J9" s="211">
        <f t="shared" si="4"/>
        <v>1005.8999999999996</v>
      </c>
      <c r="K9" s="211">
        <f t="shared" si="4"/>
        <v>1168.7</v>
      </c>
      <c r="L9" s="211">
        <f t="shared" si="4"/>
        <v>1182.3599999999994</v>
      </c>
      <c r="M9" s="211">
        <f t="shared" si="4"/>
        <v>623.00000000000011</v>
      </c>
      <c r="N9" s="211">
        <f t="shared" si="4"/>
        <v>829.40000000000009</v>
      </c>
      <c r="O9" s="211">
        <f t="shared" si="4"/>
        <v>623.70000000000005</v>
      </c>
      <c r="P9" s="211">
        <f t="shared" si="4"/>
        <v>1184.1300000000001</v>
      </c>
      <c r="Q9" s="211">
        <f t="shared" si="4"/>
        <v>1973.4</v>
      </c>
      <c r="R9" s="211">
        <f t="shared" si="4"/>
        <v>1166.8999999999999</v>
      </c>
      <c r="S9" s="211">
        <f t="shared" si="4"/>
        <v>518.2299999999999</v>
      </c>
      <c r="T9" s="365">
        <f t="shared" si="4"/>
        <v>744.89999999999975</v>
      </c>
      <c r="U9" s="372">
        <f t="shared" si="1"/>
        <v>1137.4299999999998</v>
      </c>
      <c r="V9" s="204">
        <f t="shared" si="2"/>
        <v>1213.2586666666664</v>
      </c>
      <c r="W9" s="204">
        <f t="shared" si="3"/>
        <v>-75.82866666666655</v>
      </c>
    </row>
    <row r="10" spans="1:23" x14ac:dyDescent="0.35">
      <c r="A10" s="112" t="s">
        <v>136</v>
      </c>
      <c r="B10" s="213" t="s">
        <v>146</v>
      </c>
      <c r="C10" s="111" t="s">
        <v>22</v>
      </c>
      <c r="D10" s="110">
        <v>0.97</v>
      </c>
      <c r="E10" s="212">
        <f t="shared" si="4"/>
        <v>5435.0640000000003</v>
      </c>
      <c r="F10" s="211">
        <f t="shared" si="4"/>
        <v>660.38</v>
      </c>
      <c r="G10" s="211">
        <f t="shared" si="4"/>
        <v>1871.1500000000003</v>
      </c>
      <c r="H10" s="211">
        <f t="shared" si="4"/>
        <v>43165.575720000015</v>
      </c>
      <c r="I10" s="211">
        <f t="shared" si="4"/>
        <v>1764.8500000000001</v>
      </c>
      <c r="J10" s="211">
        <f t="shared" si="4"/>
        <v>1089.7199999999998</v>
      </c>
      <c r="K10" s="211">
        <f t="shared" si="4"/>
        <v>2524.380000000001</v>
      </c>
      <c r="L10" s="211">
        <f t="shared" si="4"/>
        <v>5519.2740000000003</v>
      </c>
      <c r="M10" s="211">
        <f t="shared" si="4"/>
        <v>0</v>
      </c>
      <c r="N10" s="211">
        <f t="shared" si="4"/>
        <v>1478.8300000000002</v>
      </c>
      <c r="O10" s="211">
        <f t="shared" si="4"/>
        <v>985.14</v>
      </c>
      <c r="P10" s="211">
        <f t="shared" si="4"/>
        <v>14665.62</v>
      </c>
      <c r="Q10" s="211">
        <f t="shared" si="4"/>
        <v>645.11999999999989</v>
      </c>
      <c r="R10" s="211">
        <f t="shared" si="4"/>
        <v>74.400000000000006</v>
      </c>
      <c r="S10" s="211">
        <f t="shared" si="4"/>
        <v>15.2</v>
      </c>
      <c r="T10" s="365">
        <f t="shared" si="4"/>
        <v>21728.755450000011</v>
      </c>
      <c r="U10" s="372">
        <f t="shared" si="1"/>
        <v>6351.466198125001</v>
      </c>
      <c r="V10" s="204">
        <f t="shared" si="2"/>
        <v>3692.6472000000017</v>
      </c>
      <c r="W10" s="204">
        <f t="shared" si="3"/>
        <v>2658.8189981249993</v>
      </c>
    </row>
    <row r="11" spans="1:23" x14ac:dyDescent="0.35">
      <c r="A11" s="112" t="s">
        <v>136</v>
      </c>
      <c r="B11" s="213" t="s">
        <v>147</v>
      </c>
      <c r="C11" s="111" t="s">
        <v>22</v>
      </c>
      <c r="D11" s="110">
        <v>0.67</v>
      </c>
      <c r="E11" s="212">
        <f>MAX(E37+(E63-E37)*$D11, E37)</f>
        <v>52.595000000000006</v>
      </c>
      <c r="F11" s="211">
        <f t="shared" si="4"/>
        <v>0</v>
      </c>
      <c r="G11" s="211">
        <f t="shared" si="4"/>
        <v>0</v>
      </c>
      <c r="H11" s="211">
        <f t="shared" si="4"/>
        <v>0</v>
      </c>
      <c r="I11" s="211">
        <f t="shared" si="4"/>
        <v>0</v>
      </c>
      <c r="J11" s="211">
        <f t="shared" si="4"/>
        <v>0</v>
      </c>
      <c r="K11" s="211">
        <f t="shared" si="4"/>
        <v>0</v>
      </c>
      <c r="L11" s="211">
        <f t="shared" si="4"/>
        <v>0</v>
      </c>
      <c r="M11" s="211">
        <f t="shared" si="4"/>
        <v>0</v>
      </c>
      <c r="N11" s="211">
        <f t="shared" si="4"/>
        <v>0</v>
      </c>
      <c r="O11" s="211">
        <f t="shared" si="4"/>
        <v>0</v>
      </c>
      <c r="P11" s="211">
        <f t="shared" si="4"/>
        <v>5.6950000000000003</v>
      </c>
      <c r="Q11" s="211">
        <f t="shared" si="4"/>
        <v>0</v>
      </c>
      <c r="R11" s="211">
        <f t="shared" si="4"/>
        <v>0</v>
      </c>
      <c r="S11" s="211">
        <f t="shared" si="4"/>
        <v>0</v>
      </c>
      <c r="T11" s="365">
        <f t="shared" si="4"/>
        <v>0</v>
      </c>
      <c r="U11" s="372">
        <f t="shared" si="1"/>
        <v>3.6431250000000004</v>
      </c>
      <c r="V11" s="204">
        <f t="shared" si="2"/>
        <v>0</v>
      </c>
      <c r="W11" s="204">
        <f t="shared" si="3"/>
        <v>3.6431250000000004</v>
      </c>
    </row>
    <row r="12" spans="1:23" x14ac:dyDescent="0.35">
      <c r="A12" s="112" t="s">
        <v>136</v>
      </c>
      <c r="B12" s="213" t="s">
        <v>148</v>
      </c>
      <c r="C12" s="111" t="s">
        <v>22</v>
      </c>
      <c r="D12" s="110">
        <v>0.7</v>
      </c>
      <c r="E12" s="212">
        <f t="shared" si="4"/>
        <v>921.9218699999999</v>
      </c>
      <c r="F12" s="211">
        <f t="shared" si="4"/>
        <v>9.6313499999999994</v>
      </c>
      <c r="G12" s="211">
        <f t="shared" si="4"/>
        <v>413.28759999999994</v>
      </c>
      <c r="H12" s="211">
        <f t="shared" si="4"/>
        <v>28.437800000000003</v>
      </c>
      <c r="I12" s="211">
        <f t="shared" si="4"/>
        <v>373.52346999999986</v>
      </c>
      <c r="J12" s="211">
        <f t="shared" si="4"/>
        <v>76.837199999999996</v>
      </c>
      <c r="K12" s="211">
        <f t="shared" si="4"/>
        <v>9.5512999999999995</v>
      </c>
      <c r="L12" s="211">
        <f t="shared" si="4"/>
        <v>154.93634999999995</v>
      </c>
      <c r="M12" s="211">
        <f t="shared" si="4"/>
        <v>11.465999999999999</v>
      </c>
      <c r="N12" s="211">
        <f t="shared" si="4"/>
        <v>113.66039999999997</v>
      </c>
      <c r="O12" s="211">
        <f t="shared" si="4"/>
        <v>3364.1141099999991</v>
      </c>
      <c r="P12" s="211">
        <f t="shared" si="4"/>
        <v>23.2</v>
      </c>
      <c r="Q12" s="211">
        <f t="shared" si="4"/>
        <v>36.622099999999996</v>
      </c>
      <c r="R12" s="211">
        <f t="shared" si="4"/>
        <v>1043.8752199999994</v>
      </c>
      <c r="S12" s="211">
        <f t="shared" si="4"/>
        <v>2693.2584000000011</v>
      </c>
      <c r="T12" s="365">
        <f t="shared" si="4"/>
        <v>937.73050999999975</v>
      </c>
      <c r="U12" s="372">
        <f t="shared" si="1"/>
        <v>638.25335499999983</v>
      </c>
      <c r="V12" s="204">
        <f t="shared" si="2"/>
        <v>353.02515333333338</v>
      </c>
      <c r="W12" s="204">
        <f t="shared" si="3"/>
        <v>285.22820166666645</v>
      </c>
    </row>
    <row r="13" spans="1:23" x14ac:dyDescent="0.35">
      <c r="A13" s="112" t="s">
        <v>136</v>
      </c>
      <c r="B13" s="213" t="s">
        <v>149</v>
      </c>
      <c r="C13" s="111" t="s">
        <v>22</v>
      </c>
      <c r="D13" s="110">
        <v>0.41</v>
      </c>
      <c r="E13" s="212">
        <f t="shared" si="4"/>
        <v>0</v>
      </c>
      <c r="F13" s="211">
        <f t="shared" si="4"/>
        <v>89.835999999999999</v>
      </c>
      <c r="G13" s="211">
        <f t="shared" si="4"/>
        <v>0</v>
      </c>
      <c r="H13" s="211">
        <f t="shared" si="4"/>
        <v>136.20599999999999</v>
      </c>
      <c r="I13" s="211">
        <f t="shared" si="4"/>
        <v>0</v>
      </c>
      <c r="J13" s="211">
        <f t="shared" si="4"/>
        <v>0</v>
      </c>
      <c r="K13" s="211">
        <f t="shared" si="4"/>
        <v>0</v>
      </c>
      <c r="L13" s="211">
        <f t="shared" si="4"/>
        <v>666.226</v>
      </c>
      <c r="M13" s="211">
        <f t="shared" si="4"/>
        <v>2073.3519999999999</v>
      </c>
      <c r="N13" s="211">
        <f t="shared" si="4"/>
        <v>0</v>
      </c>
      <c r="O13" s="211">
        <f>MAX(O39+(O65-O39)*$D13, O39)</f>
        <v>628.13599999999997</v>
      </c>
      <c r="P13" s="211">
        <f t="shared" si="4"/>
        <v>0</v>
      </c>
      <c r="Q13" s="211">
        <f t="shared" si="4"/>
        <v>0</v>
      </c>
      <c r="R13" s="211">
        <f t="shared" si="4"/>
        <v>130.66200000000001</v>
      </c>
      <c r="S13" s="211">
        <f t="shared" si="4"/>
        <v>0</v>
      </c>
      <c r="T13" s="365">
        <f t="shared" si="4"/>
        <v>23.132200000000001</v>
      </c>
      <c r="U13" s="372">
        <f t="shared" si="1"/>
        <v>234.22188749999998</v>
      </c>
      <c r="V13" s="204">
        <f t="shared" si="2"/>
        <v>248.29453333333331</v>
      </c>
      <c r="W13" s="204">
        <f t="shared" si="3"/>
        <v>-14.072645833333326</v>
      </c>
    </row>
    <row r="14" spans="1:23" x14ac:dyDescent="0.35">
      <c r="A14" s="112" t="s">
        <v>136</v>
      </c>
      <c r="B14" s="213" t="s">
        <v>150</v>
      </c>
      <c r="C14" s="111" t="s">
        <v>22</v>
      </c>
      <c r="D14" s="110">
        <v>0.41</v>
      </c>
      <c r="E14" s="212">
        <f t="shared" si="4"/>
        <v>2604.7570599999999</v>
      </c>
      <c r="F14" s="211">
        <f t="shared" si="4"/>
        <v>0</v>
      </c>
      <c r="G14" s="211">
        <f t="shared" si="4"/>
        <v>347.99979999999999</v>
      </c>
      <c r="H14" s="211">
        <f t="shared" si="4"/>
        <v>0</v>
      </c>
      <c r="I14" s="211">
        <f t="shared" si="4"/>
        <v>0</v>
      </c>
      <c r="J14" s="211">
        <f t="shared" si="4"/>
        <v>0</v>
      </c>
      <c r="K14" s="211">
        <f t="shared" si="4"/>
        <v>0</v>
      </c>
      <c r="L14" s="211">
        <f t="shared" si="4"/>
        <v>279.22229999999996</v>
      </c>
      <c r="M14" s="211">
        <f t="shared" si="4"/>
        <v>1365.7633000000001</v>
      </c>
      <c r="N14" s="211">
        <f t="shared" si="4"/>
        <v>18451.597159999987</v>
      </c>
      <c r="O14" s="211">
        <f>MAX(O40+(O66-O40)*$D14, O40)</f>
        <v>0</v>
      </c>
      <c r="P14" s="211">
        <f t="shared" si="4"/>
        <v>0</v>
      </c>
      <c r="Q14" s="211">
        <f t="shared" si="4"/>
        <v>3234.8180000000002</v>
      </c>
      <c r="R14" s="211">
        <f t="shared" si="4"/>
        <v>0</v>
      </c>
      <c r="S14" s="211">
        <f t="shared" si="4"/>
        <v>0</v>
      </c>
      <c r="T14" s="365">
        <f t="shared" si="4"/>
        <v>0</v>
      </c>
      <c r="U14" s="372">
        <f t="shared" si="1"/>
        <v>1642.759851249999</v>
      </c>
      <c r="V14" s="204">
        <f t="shared" si="2"/>
        <v>84.63000000000001</v>
      </c>
      <c r="W14" s="204">
        <f t="shared" si="3"/>
        <v>1558.1298512499989</v>
      </c>
    </row>
    <row r="15" spans="1:23" x14ac:dyDescent="0.35">
      <c r="A15" s="106" t="s">
        <v>24</v>
      </c>
      <c r="B15" s="210" t="s">
        <v>137</v>
      </c>
      <c r="C15" s="105" t="s">
        <v>23</v>
      </c>
      <c r="D15" s="104"/>
      <c r="E15" s="507">
        <f t="shared" si="4"/>
        <v>80</v>
      </c>
      <c r="F15" s="508">
        <f t="shared" si="4"/>
        <v>72</v>
      </c>
      <c r="G15" s="508">
        <f t="shared" si="4"/>
        <v>0</v>
      </c>
      <c r="H15" s="508">
        <f t="shared" si="4"/>
        <v>0</v>
      </c>
      <c r="I15" s="508">
        <f t="shared" si="4"/>
        <v>0</v>
      </c>
      <c r="J15" s="508">
        <f t="shared" si="4"/>
        <v>0</v>
      </c>
      <c r="K15" s="508">
        <f t="shared" si="4"/>
        <v>0</v>
      </c>
      <c r="L15" s="508">
        <f t="shared" si="4"/>
        <v>0</v>
      </c>
      <c r="M15" s="508">
        <f t="shared" si="4"/>
        <v>0</v>
      </c>
      <c r="N15" s="508">
        <f t="shared" si="4"/>
        <v>1431.7999999999995</v>
      </c>
      <c r="O15" s="508">
        <f>MAX(O41+(O67-O41)*$D15, O41)</f>
        <v>0</v>
      </c>
      <c r="P15" s="508">
        <f t="shared" si="4"/>
        <v>0</v>
      </c>
      <c r="Q15" s="508">
        <f t="shared" si="4"/>
        <v>0</v>
      </c>
      <c r="R15" s="508">
        <f t="shared" si="4"/>
        <v>0</v>
      </c>
      <c r="S15" s="508">
        <f>MAX(S41+(S67-S41)*$D15, S41)</f>
        <v>0</v>
      </c>
      <c r="T15" s="509">
        <f t="shared" si="4"/>
        <v>0</v>
      </c>
      <c r="U15" s="372">
        <f t="shared" si="1"/>
        <v>98.987499999999969</v>
      </c>
      <c r="V15" s="204">
        <f t="shared" si="2"/>
        <v>105.58666666666663</v>
      </c>
      <c r="W15" s="204">
        <f t="shared" si="3"/>
        <v>-6.5991666666666617</v>
      </c>
    </row>
    <row r="16" spans="1:23" x14ac:dyDescent="0.35">
      <c r="A16" s="106" t="s">
        <v>24</v>
      </c>
      <c r="B16" s="210" t="s">
        <v>138</v>
      </c>
      <c r="C16" s="105" t="s">
        <v>139</v>
      </c>
      <c r="D16" s="104">
        <v>0.8</v>
      </c>
      <c r="E16" s="209">
        <f t="shared" si="4"/>
        <v>95.4</v>
      </c>
      <c r="F16" s="208">
        <f t="shared" si="4"/>
        <v>80</v>
      </c>
      <c r="G16" s="208">
        <f t="shared" si="4"/>
        <v>8.8000000000000007</v>
      </c>
      <c r="H16" s="208">
        <f t="shared" si="4"/>
        <v>62</v>
      </c>
      <c r="I16" s="208">
        <f t="shared" si="4"/>
        <v>80</v>
      </c>
      <c r="J16" s="208">
        <f t="shared" si="4"/>
        <v>28</v>
      </c>
      <c r="K16" s="208">
        <f t="shared" si="4"/>
        <v>67</v>
      </c>
      <c r="L16" s="208">
        <f t="shared" si="4"/>
        <v>65.400000000000006</v>
      </c>
      <c r="M16" s="208">
        <f t="shared" si="4"/>
        <v>60.8</v>
      </c>
      <c r="N16" s="208">
        <f t="shared" si="4"/>
        <v>88.800000000000011</v>
      </c>
      <c r="O16" s="208">
        <f>MAX(O42+(O68-O42)*$D16, O42)</f>
        <v>6</v>
      </c>
      <c r="P16" s="208">
        <f t="shared" si="4"/>
        <v>51</v>
      </c>
      <c r="Q16" s="208">
        <f t="shared" si="4"/>
        <v>64</v>
      </c>
      <c r="R16" s="208">
        <f t="shared" si="4"/>
        <v>38.799999999999997</v>
      </c>
      <c r="S16" s="208">
        <f t="shared" si="4"/>
        <v>20</v>
      </c>
      <c r="T16" s="366">
        <f t="shared" si="4"/>
        <v>239</v>
      </c>
      <c r="U16" s="372">
        <f t="shared" si="1"/>
        <v>65.9375</v>
      </c>
      <c r="V16" s="204">
        <f t="shared" si="2"/>
        <v>50.333333333333336</v>
      </c>
      <c r="W16" s="204">
        <f t="shared" si="3"/>
        <v>15.604166666666664</v>
      </c>
    </row>
    <row r="17" spans="1:23" x14ac:dyDescent="0.35">
      <c r="A17" s="106" t="s">
        <v>24</v>
      </c>
      <c r="B17" s="210" t="s">
        <v>140</v>
      </c>
      <c r="C17" s="105" t="s">
        <v>22</v>
      </c>
      <c r="D17" s="104"/>
      <c r="E17" s="209">
        <f t="shared" si="4"/>
        <v>0</v>
      </c>
      <c r="F17" s="208">
        <f t="shared" si="4"/>
        <v>0</v>
      </c>
      <c r="G17" s="208">
        <f t="shared" si="4"/>
        <v>0</v>
      </c>
      <c r="H17" s="208">
        <f t="shared" si="4"/>
        <v>0</v>
      </c>
      <c r="I17" s="208">
        <f t="shared" si="4"/>
        <v>0</v>
      </c>
      <c r="J17" s="208">
        <f t="shared" si="4"/>
        <v>0</v>
      </c>
      <c r="K17" s="208">
        <f t="shared" si="4"/>
        <v>0</v>
      </c>
      <c r="L17" s="208">
        <f t="shared" si="4"/>
        <v>0</v>
      </c>
      <c r="M17" s="208">
        <f t="shared" si="4"/>
        <v>0</v>
      </c>
      <c r="N17" s="208">
        <f t="shared" si="4"/>
        <v>0</v>
      </c>
      <c r="O17" s="208">
        <f>MAX(O43+(O69-O43)*$D17, O43)</f>
        <v>0</v>
      </c>
      <c r="P17" s="208">
        <f t="shared" si="4"/>
        <v>2633.3307</v>
      </c>
      <c r="Q17" s="208">
        <f t="shared" si="4"/>
        <v>0</v>
      </c>
      <c r="R17" s="208">
        <f t="shared" si="4"/>
        <v>2879.7407000000003</v>
      </c>
      <c r="S17" s="208">
        <f t="shared" si="4"/>
        <v>0</v>
      </c>
      <c r="T17" s="366">
        <f t="shared" si="4"/>
        <v>5415.1200000000008</v>
      </c>
      <c r="U17" s="372">
        <f t="shared" si="1"/>
        <v>683.0119625000001</v>
      </c>
      <c r="V17" s="204">
        <f t="shared" si="2"/>
        <v>728.54609333333349</v>
      </c>
      <c r="W17" s="204">
        <f t="shared" si="3"/>
        <v>-45.534130833333393</v>
      </c>
    </row>
    <row r="18" spans="1:23" x14ac:dyDescent="0.35">
      <c r="A18" s="106" t="s">
        <v>24</v>
      </c>
      <c r="B18" s="210" t="s">
        <v>141</v>
      </c>
      <c r="C18" s="105" t="s">
        <v>22</v>
      </c>
      <c r="D18" s="104"/>
      <c r="E18" s="209">
        <f t="shared" si="4"/>
        <v>26010.286599999999</v>
      </c>
      <c r="F18" s="208">
        <f t="shared" si="4"/>
        <v>0</v>
      </c>
      <c r="G18" s="208">
        <f t="shared" si="4"/>
        <v>0</v>
      </c>
      <c r="H18" s="208">
        <f t="shared" si="4"/>
        <v>0</v>
      </c>
      <c r="I18" s="208">
        <f t="shared" si="4"/>
        <v>0</v>
      </c>
      <c r="J18" s="208">
        <f t="shared" si="4"/>
        <v>0</v>
      </c>
      <c r="K18" s="208">
        <f t="shared" si="4"/>
        <v>0</v>
      </c>
      <c r="L18" s="208">
        <f t="shared" si="4"/>
        <v>0</v>
      </c>
      <c r="M18" s="208">
        <f t="shared" si="4"/>
        <v>0</v>
      </c>
      <c r="N18" s="208">
        <f>MAX(N44+(N70-N44)*$D18, N44)</f>
        <v>0</v>
      </c>
      <c r="O18" s="208">
        <f>MAX(O44+(O70-O44)*$D18, O44)</f>
        <v>0</v>
      </c>
      <c r="P18" s="208">
        <f t="shared" ref="F18:T24" si="5">MAX(P44+(P70-P44)*$D18, P44)</f>
        <v>0</v>
      </c>
      <c r="Q18" s="208">
        <f t="shared" si="5"/>
        <v>0</v>
      </c>
      <c r="R18" s="208">
        <f t="shared" si="5"/>
        <v>0</v>
      </c>
      <c r="S18" s="208">
        <f t="shared" si="5"/>
        <v>0</v>
      </c>
      <c r="T18" s="366">
        <f t="shared" si="5"/>
        <v>0</v>
      </c>
      <c r="U18" s="372">
        <f t="shared" si="1"/>
        <v>1625.6429125</v>
      </c>
      <c r="V18" s="204">
        <f t="shared" si="2"/>
        <v>1734.0191066666666</v>
      </c>
      <c r="W18" s="204">
        <f t="shared" si="3"/>
        <v>-108.37619416666666</v>
      </c>
    </row>
    <row r="19" spans="1:23" x14ac:dyDescent="0.35">
      <c r="A19" s="106" t="s">
        <v>24</v>
      </c>
      <c r="B19" s="210" t="s">
        <v>142</v>
      </c>
      <c r="C19" s="105" t="s">
        <v>22</v>
      </c>
      <c r="D19" s="104"/>
      <c r="E19" s="209">
        <f t="shared" si="4"/>
        <v>939.60000000000014</v>
      </c>
      <c r="F19" s="208">
        <f t="shared" si="5"/>
        <v>0</v>
      </c>
      <c r="G19" s="208">
        <f t="shared" si="5"/>
        <v>0</v>
      </c>
      <c r="H19" s="208">
        <f t="shared" si="5"/>
        <v>0</v>
      </c>
      <c r="I19" s="208">
        <f t="shared" si="5"/>
        <v>153.6</v>
      </c>
      <c r="J19" s="208">
        <f t="shared" si="5"/>
        <v>5940.5999999999949</v>
      </c>
      <c r="K19" s="208">
        <f t="shared" si="5"/>
        <v>795</v>
      </c>
      <c r="L19" s="208">
        <f t="shared" si="5"/>
        <v>12065.40000000002</v>
      </c>
      <c r="M19" s="208">
        <f t="shared" si="5"/>
        <v>0</v>
      </c>
      <c r="N19" s="208">
        <f t="shared" si="5"/>
        <v>1468.8000000000002</v>
      </c>
      <c r="O19" s="208">
        <f>MAX(O45+(O71-O45)*$D19, O45)</f>
        <v>1595.4</v>
      </c>
      <c r="P19" s="208">
        <f t="shared" si="5"/>
        <v>12299.400000000007</v>
      </c>
      <c r="Q19" s="208">
        <f t="shared" si="5"/>
        <v>939.60000000000014</v>
      </c>
      <c r="R19" s="208">
        <f t="shared" si="5"/>
        <v>0</v>
      </c>
      <c r="S19" s="208">
        <f t="shared" si="5"/>
        <v>0</v>
      </c>
      <c r="T19" s="366">
        <f t="shared" si="5"/>
        <v>0</v>
      </c>
      <c r="U19" s="372">
        <f t="shared" si="1"/>
        <v>2262.3375000000015</v>
      </c>
      <c r="V19" s="204">
        <f t="shared" si="2"/>
        <v>2413.1600000000017</v>
      </c>
      <c r="W19" s="204">
        <f t="shared" si="3"/>
        <v>-150.82250000000022</v>
      </c>
    </row>
    <row r="20" spans="1:23" x14ac:dyDescent="0.35">
      <c r="A20" s="106" t="s">
        <v>24</v>
      </c>
      <c r="B20" s="210" t="s">
        <v>143</v>
      </c>
      <c r="C20" s="105" t="s">
        <v>22</v>
      </c>
      <c r="D20" s="104"/>
      <c r="E20" s="209">
        <f t="shared" si="4"/>
        <v>1258.2</v>
      </c>
      <c r="F20" s="208">
        <f t="shared" si="5"/>
        <v>164.4</v>
      </c>
      <c r="G20" s="208">
        <f t="shared" si="5"/>
        <v>0</v>
      </c>
      <c r="H20" s="208">
        <f t="shared" si="5"/>
        <v>0</v>
      </c>
      <c r="I20" s="208">
        <f t="shared" si="5"/>
        <v>0</v>
      </c>
      <c r="J20" s="208">
        <f t="shared" si="5"/>
        <v>0</v>
      </c>
      <c r="K20" s="208">
        <f t="shared" si="5"/>
        <v>0</v>
      </c>
      <c r="L20" s="208">
        <f t="shared" si="5"/>
        <v>0</v>
      </c>
      <c r="M20" s="208">
        <f t="shared" si="5"/>
        <v>0</v>
      </c>
      <c r="N20" s="208">
        <f t="shared" si="5"/>
        <v>0</v>
      </c>
      <c r="O20" s="208">
        <f>MAX(O46+(O72-O46)*$D20, O46)</f>
        <v>0</v>
      </c>
      <c r="P20" s="208">
        <f t="shared" si="5"/>
        <v>0</v>
      </c>
      <c r="Q20" s="208">
        <f t="shared" si="5"/>
        <v>0</v>
      </c>
      <c r="R20" s="208">
        <f t="shared" si="5"/>
        <v>0</v>
      </c>
      <c r="S20" s="208">
        <f t="shared" si="5"/>
        <v>0</v>
      </c>
      <c r="T20" s="366">
        <f t="shared" si="5"/>
        <v>82.2</v>
      </c>
      <c r="U20" s="372">
        <f t="shared" si="1"/>
        <v>94.050000000000011</v>
      </c>
      <c r="V20" s="204">
        <f t="shared" si="2"/>
        <v>100.32000000000001</v>
      </c>
      <c r="W20" s="204">
        <f t="shared" si="3"/>
        <v>-6.269999999999996</v>
      </c>
    </row>
    <row r="21" spans="1:23" x14ac:dyDescent="0.35">
      <c r="A21" s="106" t="s">
        <v>24</v>
      </c>
      <c r="B21" s="210" t="s">
        <v>145</v>
      </c>
      <c r="C21" s="105" t="s">
        <v>23</v>
      </c>
      <c r="D21" s="104"/>
      <c r="E21" s="209">
        <f t="shared" si="4"/>
        <v>384.1</v>
      </c>
      <c r="F21" s="208">
        <f t="shared" si="5"/>
        <v>276.40000000000003</v>
      </c>
      <c r="G21" s="208">
        <f t="shared" si="5"/>
        <v>1086.0999999999999</v>
      </c>
      <c r="H21" s="208">
        <f t="shared" si="5"/>
        <v>360.3</v>
      </c>
      <c r="I21" s="208">
        <f t="shared" si="5"/>
        <v>628.30000000000007</v>
      </c>
      <c r="J21" s="208">
        <f t="shared" si="5"/>
        <v>519.09999999999991</v>
      </c>
      <c r="K21" s="208">
        <f t="shared" si="5"/>
        <v>413.20000000000022</v>
      </c>
      <c r="L21" s="208">
        <f t="shared" si="5"/>
        <v>175</v>
      </c>
      <c r="M21" s="208">
        <f t="shared" si="5"/>
        <v>403.20000000000005</v>
      </c>
      <c r="N21" s="208">
        <f t="shared" si="5"/>
        <v>173.2</v>
      </c>
      <c r="O21" s="208">
        <f>MAX(O47+(O73-O47)*$D21, O47)</f>
        <v>85.5</v>
      </c>
      <c r="P21" s="208">
        <f t="shared" si="5"/>
        <v>35.799999999999997</v>
      </c>
      <c r="Q21" s="208">
        <f t="shared" si="5"/>
        <v>564.80000000000007</v>
      </c>
      <c r="R21" s="208">
        <f t="shared" si="5"/>
        <v>514.5</v>
      </c>
      <c r="S21" s="208">
        <f t="shared" si="5"/>
        <v>187.79999999999998</v>
      </c>
      <c r="T21" s="366">
        <f t="shared" si="5"/>
        <v>17.5</v>
      </c>
      <c r="U21" s="372">
        <f t="shared" si="1"/>
        <v>364.05000000000007</v>
      </c>
      <c r="V21" s="204">
        <f t="shared" si="2"/>
        <v>388.32000000000005</v>
      </c>
      <c r="W21" s="204">
        <f t="shared" si="3"/>
        <v>-24.269999999999982</v>
      </c>
    </row>
    <row r="22" spans="1:23" x14ac:dyDescent="0.35">
      <c r="A22" s="106" t="s">
        <v>24</v>
      </c>
      <c r="B22" s="210" t="s">
        <v>148</v>
      </c>
      <c r="C22" s="105" t="s">
        <v>22</v>
      </c>
      <c r="D22" s="104">
        <v>0.6</v>
      </c>
      <c r="E22" s="209">
        <f t="shared" si="4"/>
        <v>559.5489</v>
      </c>
      <c r="F22" s="208">
        <f t="shared" si="5"/>
        <v>31</v>
      </c>
      <c r="G22" s="208">
        <f t="shared" si="5"/>
        <v>34.751599999999996</v>
      </c>
      <c r="H22" s="208">
        <f t="shared" si="5"/>
        <v>0</v>
      </c>
      <c r="I22" s="208">
        <f t="shared" si="5"/>
        <v>0</v>
      </c>
      <c r="J22" s="208">
        <f t="shared" si="5"/>
        <v>0</v>
      </c>
      <c r="K22" s="208">
        <f t="shared" si="5"/>
        <v>37.209519999999998</v>
      </c>
      <c r="L22" s="208">
        <f t="shared" si="5"/>
        <v>160.67599999999999</v>
      </c>
      <c r="M22" s="208">
        <f t="shared" si="5"/>
        <v>43.511219999999994</v>
      </c>
      <c r="N22" s="208">
        <f t="shared" si="5"/>
        <v>20.824000000000002</v>
      </c>
      <c r="O22" s="208">
        <f>MAX(O48+(O74-O48)*$D22, O48)</f>
        <v>1511.3587999999988</v>
      </c>
      <c r="P22" s="208">
        <f t="shared" si="5"/>
        <v>163.73399999999998</v>
      </c>
      <c r="Q22" s="208">
        <f t="shared" si="5"/>
        <v>35.095440000000004</v>
      </c>
      <c r="R22" s="208">
        <f t="shared" si="5"/>
        <v>127.4196</v>
      </c>
      <c r="S22" s="208">
        <f t="shared" si="5"/>
        <v>2205.9511399999992</v>
      </c>
      <c r="T22" s="366">
        <f t="shared" si="5"/>
        <v>379.42233999999996</v>
      </c>
      <c r="U22" s="372">
        <f t="shared" si="1"/>
        <v>331.90640999999988</v>
      </c>
      <c r="V22" s="204">
        <f t="shared" si="2"/>
        <v>232.10097999999985</v>
      </c>
      <c r="W22" s="204">
        <f t="shared" si="3"/>
        <v>99.80543000000003</v>
      </c>
    </row>
    <row r="23" spans="1:23" x14ac:dyDescent="0.35">
      <c r="A23" s="106" t="s">
        <v>24</v>
      </c>
      <c r="B23" s="210" t="s">
        <v>149</v>
      </c>
      <c r="C23" s="105" t="s">
        <v>22</v>
      </c>
      <c r="D23" s="104">
        <v>0.38</v>
      </c>
      <c r="E23" s="209">
        <f t="shared" si="4"/>
        <v>0</v>
      </c>
      <c r="F23" s="208">
        <f t="shared" si="5"/>
        <v>0</v>
      </c>
      <c r="G23" s="208">
        <f t="shared" si="5"/>
        <v>0</v>
      </c>
      <c r="H23" s="208">
        <f t="shared" si="5"/>
        <v>0</v>
      </c>
      <c r="I23" s="208">
        <f t="shared" si="5"/>
        <v>0</v>
      </c>
      <c r="J23" s="208">
        <f t="shared" si="5"/>
        <v>0</v>
      </c>
      <c r="K23" s="208">
        <f t="shared" si="5"/>
        <v>0</v>
      </c>
      <c r="L23" s="208">
        <f t="shared" si="5"/>
        <v>0</v>
      </c>
      <c r="M23" s="208">
        <f t="shared" si="5"/>
        <v>616.14599999999996</v>
      </c>
      <c r="N23" s="208">
        <f t="shared" si="5"/>
        <v>0</v>
      </c>
      <c r="O23" s="208">
        <f t="shared" si="5"/>
        <v>0</v>
      </c>
      <c r="P23" s="208">
        <f t="shared" si="5"/>
        <v>0</v>
      </c>
      <c r="Q23" s="208">
        <f t="shared" si="5"/>
        <v>0</v>
      </c>
      <c r="R23" s="208">
        <f t="shared" si="5"/>
        <v>0</v>
      </c>
      <c r="S23" s="208">
        <f t="shared" si="5"/>
        <v>0</v>
      </c>
      <c r="T23" s="366">
        <f t="shared" si="5"/>
        <v>0</v>
      </c>
      <c r="U23" s="372">
        <f t="shared" si="1"/>
        <v>38.509124999999997</v>
      </c>
      <c r="V23" s="204">
        <f t="shared" si="2"/>
        <v>41.0764</v>
      </c>
      <c r="W23" s="204">
        <f t="shared" si="3"/>
        <v>-2.5672750000000022</v>
      </c>
    </row>
    <row r="24" spans="1:23" ht="15" thickBot="1" x14ac:dyDescent="0.4">
      <c r="A24" s="99" t="s">
        <v>24</v>
      </c>
      <c r="B24" s="207" t="s">
        <v>150</v>
      </c>
      <c r="C24" s="98" t="s">
        <v>22</v>
      </c>
      <c r="D24" s="97">
        <v>0.38</v>
      </c>
      <c r="E24" s="206">
        <f t="shared" si="4"/>
        <v>1100.2367999999999</v>
      </c>
      <c r="F24" s="205">
        <f t="shared" si="5"/>
        <v>0</v>
      </c>
      <c r="G24" s="205">
        <f t="shared" si="5"/>
        <v>0</v>
      </c>
      <c r="H24" s="205">
        <f t="shared" si="5"/>
        <v>0</v>
      </c>
      <c r="I24" s="205">
        <f t="shared" si="5"/>
        <v>0</v>
      </c>
      <c r="J24" s="205">
        <f t="shared" si="5"/>
        <v>0</v>
      </c>
      <c r="K24" s="205">
        <f t="shared" si="5"/>
        <v>0</v>
      </c>
      <c r="L24" s="205">
        <f t="shared" si="5"/>
        <v>0</v>
      </c>
      <c r="M24" s="205">
        <f t="shared" si="5"/>
        <v>200.19159999999997</v>
      </c>
      <c r="N24" s="205">
        <f t="shared" si="5"/>
        <v>7626.1287999999995</v>
      </c>
      <c r="O24" s="205">
        <f t="shared" si="5"/>
        <v>11633.483399999983</v>
      </c>
      <c r="P24" s="205">
        <f t="shared" si="5"/>
        <v>0</v>
      </c>
      <c r="Q24" s="205">
        <f t="shared" si="5"/>
        <v>2019.3</v>
      </c>
      <c r="R24" s="205">
        <f t="shared" si="5"/>
        <v>0</v>
      </c>
      <c r="S24" s="205">
        <f t="shared" si="5"/>
        <v>1947.75</v>
      </c>
      <c r="T24" s="367">
        <f t="shared" si="5"/>
        <v>1128.75</v>
      </c>
      <c r="U24" s="373">
        <f t="shared" si="1"/>
        <v>1603.4900374999988</v>
      </c>
      <c r="V24" s="204">
        <f t="shared" si="2"/>
        <v>339.72</v>
      </c>
      <c r="W24" s="204">
        <f t="shared" si="3"/>
        <v>1263.7700374999988</v>
      </c>
    </row>
    <row r="25" spans="1:23" ht="15" thickBot="1" x14ac:dyDescent="0.4"/>
    <row r="26" spans="1:23" ht="15" thickBot="1" x14ac:dyDescent="0.4">
      <c r="A26" s="150" t="s">
        <v>246</v>
      </c>
    </row>
    <row r="27" spans="1:23" ht="15" thickBot="1" x14ac:dyDescent="0.4">
      <c r="A27" s="183" t="s">
        <v>1</v>
      </c>
      <c r="B27" s="182" t="s">
        <v>243</v>
      </c>
      <c r="C27" s="182" t="s">
        <v>3</v>
      </c>
      <c r="D27" s="181"/>
      <c r="E27" s="181">
        <v>2024</v>
      </c>
      <c r="F27" s="181">
        <v>2025</v>
      </c>
      <c r="G27" s="181">
        <v>2026</v>
      </c>
      <c r="H27" s="181">
        <v>2027</v>
      </c>
      <c r="I27" s="181">
        <v>2028</v>
      </c>
      <c r="J27" s="181">
        <v>2029</v>
      </c>
      <c r="K27" s="181">
        <v>2030</v>
      </c>
      <c r="L27" s="181">
        <v>2031</v>
      </c>
      <c r="M27" s="181">
        <v>2032</v>
      </c>
      <c r="N27" s="181">
        <v>2033</v>
      </c>
      <c r="O27" s="181">
        <v>2034</v>
      </c>
      <c r="P27" s="181">
        <v>2035</v>
      </c>
      <c r="Q27" s="181">
        <v>2036</v>
      </c>
      <c r="R27" s="181">
        <v>2037</v>
      </c>
      <c r="S27" s="181">
        <v>2038</v>
      </c>
      <c r="T27" s="180">
        <v>2039</v>
      </c>
      <c r="U27" t="s">
        <v>247</v>
      </c>
      <c r="V27" s="161" t="s">
        <v>87</v>
      </c>
    </row>
    <row r="28" spans="1:23" x14ac:dyDescent="0.35">
      <c r="A28" s="203" t="s">
        <v>240</v>
      </c>
      <c r="B28" s="202" t="s">
        <v>137</v>
      </c>
      <c r="C28" s="201" t="s">
        <v>23</v>
      </c>
      <c r="D28" s="505"/>
      <c r="E28" s="220">
        <v>1683.4000000000003</v>
      </c>
      <c r="F28" s="220">
        <v>272.59999999999997</v>
      </c>
      <c r="G28" s="220">
        <v>104.4</v>
      </c>
      <c r="H28" s="220">
        <v>36.4</v>
      </c>
      <c r="I28" s="220">
        <v>1099.492</v>
      </c>
      <c r="J28" s="220">
        <v>1638.2</v>
      </c>
      <c r="K28" s="220">
        <v>150.4</v>
      </c>
      <c r="L28" s="220"/>
      <c r="M28" s="220"/>
      <c r="N28" s="220">
        <v>2314.7200000000007</v>
      </c>
      <c r="O28" s="220">
        <v>36.799999999999997</v>
      </c>
      <c r="P28" s="220">
        <v>44</v>
      </c>
      <c r="Q28" s="220">
        <v>34.4</v>
      </c>
      <c r="R28" s="220">
        <v>70.599999999999994</v>
      </c>
      <c r="S28" s="220"/>
      <c r="T28" s="506">
        <v>660</v>
      </c>
      <c r="U28" s="185">
        <f>SUM(E28:T28)/16</f>
        <v>509.08825000000007</v>
      </c>
      <c r="V28" s="161">
        <f t="shared" ref="V28:V50" si="6">SUM(D28:T28)</f>
        <v>8145.4120000000012</v>
      </c>
    </row>
    <row r="29" spans="1:23" x14ac:dyDescent="0.35">
      <c r="A29" s="203" t="s">
        <v>240</v>
      </c>
      <c r="B29" s="202" t="s">
        <v>138</v>
      </c>
      <c r="C29" s="201" t="s">
        <v>139</v>
      </c>
      <c r="D29" s="200"/>
      <c r="E29" s="199">
        <v>162</v>
      </c>
      <c r="F29" s="199">
        <v>90</v>
      </c>
      <c r="G29" s="199">
        <v>8</v>
      </c>
      <c r="H29" s="199">
        <v>34</v>
      </c>
      <c r="I29" s="199">
        <v>88</v>
      </c>
      <c r="J29" s="199">
        <v>129</v>
      </c>
      <c r="K29" s="199">
        <v>116</v>
      </c>
      <c r="L29" s="199">
        <v>143</v>
      </c>
      <c r="M29" s="199">
        <v>119</v>
      </c>
      <c r="N29" s="199">
        <v>144</v>
      </c>
      <c r="O29" s="199">
        <v>306</v>
      </c>
      <c r="P29" s="199">
        <v>25</v>
      </c>
      <c r="Q29" s="199"/>
      <c r="R29" s="199">
        <v>70</v>
      </c>
      <c r="S29" s="199">
        <v>19</v>
      </c>
      <c r="T29" s="198">
        <v>221</v>
      </c>
      <c r="U29" s="185">
        <f t="shared" ref="U29:U50" si="7">SUM(E29:T29)/15</f>
        <v>111.6</v>
      </c>
      <c r="V29" s="161">
        <f t="shared" si="6"/>
        <v>1674</v>
      </c>
    </row>
    <row r="30" spans="1:23" x14ac:dyDescent="0.35">
      <c r="A30" s="203" t="s">
        <v>240</v>
      </c>
      <c r="B30" s="202" t="s">
        <v>140</v>
      </c>
      <c r="C30" s="201" t="s">
        <v>22</v>
      </c>
      <c r="D30" s="200"/>
      <c r="E30" s="199">
        <v>101.04</v>
      </c>
      <c r="F30" s="199">
        <v>45.1</v>
      </c>
      <c r="G30" s="199">
        <v>1458.3700000000001</v>
      </c>
      <c r="H30" s="199"/>
      <c r="I30" s="199"/>
      <c r="J30" s="199"/>
      <c r="K30" s="199">
        <v>601.46999999999991</v>
      </c>
      <c r="L30" s="199"/>
      <c r="M30" s="199"/>
      <c r="N30" s="199">
        <v>908.56000000000006</v>
      </c>
      <c r="O30" s="199">
        <v>46.739999999999995</v>
      </c>
      <c r="P30" s="199">
        <v>12547.52</v>
      </c>
      <c r="Q30" s="199"/>
      <c r="R30" s="199"/>
      <c r="S30" s="199">
        <v>15.17</v>
      </c>
      <c r="T30" s="198">
        <v>9997.3640000000014</v>
      </c>
      <c r="U30" s="185">
        <f t="shared" si="7"/>
        <v>1714.7556000000002</v>
      </c>
      <c r="V30" s="161">
        <f t="shared" si="6"/>
        <v>25721.334000000003</v>
      </c>
    </row>
    <row r="31" spans="1:23" x14ac:dyDescent="0.35">
      <c r="A31" s="203" t="s">
        <v>240</v>
      </c>
      <c r="B31" s="202" t="s">
        <v>141</v>
      </c>
      <c r="C31" s="201" t="s">
        <v>22</v>
      </c>
      <c r="D31" s="200"/>
      <c r="E31" s="199">
        <v>507.9</v>
      </c>
      <c r="F31" s="199">
        <v>615.28</v>
      </c>
      <c r="G31" s="199"/>
      <c r="H31" s="199">
        <v>1607.2</v>
      </c>
      <c r="I31" s="199">
        <v>1066</v>
      </c>
      <c r="J31" s="199"/>
      <c r="K31" s="199">
        <v>292.5</v>
      </c>
      <c r="L31" s="199">
        <v>2144.712</v>
      </c>
      <c r="M31" s="199"/>
      <c r="N31" s="199"/>
      <c r="O31" s="199"/>
      <c r="P31" s="199">
        <v>689.4</v>
      </c>
      <c r="Q31" s="199"/>
      <c r="R31" s="199"/>
      <c r="S31" s="199"/>
      <c r="T31" s="198">
        <v>1074.396</v>
      </c>
      <c r="U31" s="185">
        <f t="shared" si="7"/>
        <v>533.15919999999994</v>
      </c>
      <c r="V31" s="161">
        <f t="shared" si="6"/>
        <v>7997.3879999999999</v>
      </c>
    </row>
    <row r="32" spans="1:23" x14ac:dyDescent="0.35">
      <c r="A32" s="203" t="s">
        <v>240</v>
      </c>
      <c r="B32" s="202" t="s">
        <v>142</v>
      </c>
      <c r="C32" s="201" t="s">
        <v>22</v>
      </c>
      <c r="D32" s="200"/>
      <c r="E32" s="199">
        <v>1048.9351000000001</v>
      </c>
      <c r="F32" s="199"/>
      <c r="G32" s="199"/>
      <c r="H32" s="199">
        <v>737.81840000000011</v>
      </c>
      <c r="I32" s="199"/>
      <c r="J32" s="199">
        <v>1271.8019999999997</v>
      </c>
      <c r="K32" s="199">
        <v>560.928</v>
      </c>
      <c r="L32" s="199">
        <v>1071.3711000000001</v>
      </c>
      <c r="M32" s="199"/>
      <c r="N32" s="199">
        <v>296.22549999999995</v>
      </c>
      <c r="O32" s="199">
        <v>561.8125</v>
      </c>
      <c r="P32" s="199">
        <v>3547.651499999999</v>
      </c>
      <c r="Q32" s="199">
        <v>1048.9351000000001</v>
      </c>
      <c r="R32" s="199"/>
      <c r="S32" s="199"/>
      <c r="T32" s="198">
        <v>737.81840000000011</v>
      </c>
      <c r="U32" s="185">
        <f t="shared" si="7"/>
        <v>725.55317333333335</v>
      </c>
      <c r="V32" s="161">
        <f t="shared" si="6"/>
        <v>10883.2976</v>
      </c>
    </row>
    <row r="33" spans="1:22" x14ac:dyDescent="0.35">
      <c r="A33" s="203" t="s">
        <v>240</v>
      </c>
      <c r="B33" s="202" t="s">
        <v>143</v>
      </c>
      <c r="C33" s="201" t="s">
        <v>22</v>
      </c>
      <c r="D33" s="200"/>
      <c r="E33" s="199">
        <v>2839.2834999999991</v>
      </c>
      <c r="F33" s="199"/>
      <c r="G33" s="199"/>
      <c r="H33" s="199"/>
      <c r="I33" s="199"/>
      <c r="J33" s="199"/>
      <c r="K33" s="199"/>
      <c r="L33" s="199"/>
      <c r="M33" s="199"/>
      <c r="N33" s="199">
        <v>47.94</v>
      </c>
      <c r="O33" s="199"/>
      <c r="P33" s="199"/>
      <c r="Q33" s="199"/>
      <c r="R33" s="199">
        <v>47.43</v>
      </c>
      <c r="S33" s="199">
        <v>11.02</v>
      </c>
      <c r="T33" s="198">
        <v>92.615000000000009</v>
      </c>
      <c r="U33" s="185">
        <f t="shared" si="7"/>
        <v>202.55256666666659</v>
      </c>
      <c r="V33" s="161">
        <f t="shared" si="6"/>
        <v>3038.2884999999987</v>
      </c>
    </row>
    <row r="34" spans="1:22" x14ac:dyDescent="0.35">
      <c r="A34" s="203" t="s">
        <v>240</v>
      </c>
      <c r="B34" s="202" t="s">
        <v>144</v>
      </c>
      <c r="C34" s="201" t="s">
        <v>22</v>
      </c>
      <c r="D34" s="200"/>
      <c r="E34" s="199">
        <v>8.6394000000000002</v>
      </c>
      <c r="F34" s="199"/>
      <c r="G34" s="199"/>
      <c r="H34" s="199">
        <v>17.907</v>
      </c>
      <c r="I34" s="199">
        <v>8.9535</v>
      </c>
      <c r="J34" s="199">
        <v>155.50919999999999</v>
      </c>
      <c r="K34" s="199">
        <v>17.5929</v>
      </c>
      <c r="L34" s="199">
        <v>106.8139</v>
      </c>
      <c r="M34" s="199"/>
      <c r="N34" s="199"/>
      <c r="O34" s="199">
        <v>245.33519999999999</v>
      </c>
      <c r="P34" s="199">
        <v>26.860500000000002</v>
      </c>
      <c r="Q34" s="199">
        <v>8.6394000000000002</v>
      </c>
      <c r="R34" s="199"/>
      <c r="S34" s="199"/>
      <c r="T34" s="198">
        <v>17.907</v>
      </c>
      <c r="U34" s="185">
        <f t="shared" si="7"/>
        <v>40.943866666666665</v>
      </c>
      <c r="V34" s="161">
        <f t="shared" si="6"/>
        <v>614.15800000000002</v>
      </c>
    </row>
    <row r="35" spans="1:22" x14ac:dyDescent="0.35">
      <c r="A35" s="203" t="s">
        <v>240</v>
      </c>
      <c r="B35" s="202" t="s">
        <v>145</v>
      </c>
      <c r="C35" s="201" t="s">
        <v>23</v>
      </c>
      <c r="D35" s="200"/>
      <c r="E35" s="199">
        <v>1166.1300000000001</v>
      </c>
      <c r="F35" s="199">
        <v>1638.1999999999989</v>
      </c>
      <c r="G35" s="199">
        <v>1753.9599999999996</v>
      </c>
      <c r="H35" s="199">
        <v>1315.3399999999997</v>
      </c>
      <c r="I35" s="199">
        <v>1304.6300000000001</v>
      </c>
      <c r="J35" s="199">
        <v>1005.8999999999996</v>
      </c>
      <c r="K35" s="199">
        <v>1168.7</v>
      </c>
      <c r="L35" s="199">
        <v>1182.3599999999994</v>
      </c>
      <c r="M35" s="199">
        <v>623.00000000000011</v>
      </c>
      <c r="N35" s="199">
        <v>829.40000000000009</v>
      </c>
      <c r="O35" s="199">
        <v>623.70000000000005</v>
      </c>
      <c r="P35" s="199">
        <v>1184.1300000000001</v>
      </c>
      <c r="Q35" s="199">
        <v>1973.4</v>
      </c>
      <c r="R35" s="199">
        <v>1166.8999999999999</v>
      </c>
      <c r="S35" s="199">
        <v>518.2299999999999</v>
      </c>
      <c r="T35" s="198">
        <v>744.89999999999975</v>
      </c>
      <c r="U35" s="185">
        <f t="shared" si="7"/>
        <v>1213.2586666666664</v>
      </c>
      <c r="V35" s="161">
        <f t="shared" si="6"/>
        <v>18198.879999999997</v>
      </c>
    </row>
    <row r="36" spans="1:22" x14ac:dyDescent="0.35">
      <c r="A36" s="203" t="s">
        <v>240</v>
      </c>
      <c r="B36" s="202" t="s">
        <v>146</v>
      </c>
      <c r="C36" s="201" t="s">
        <v>22</v>
      </c>
      <c r="D36" s="200"/>
      <c r="E36" s="199">
        <v>5435.0640000000003</v>
      </c>
      <c r="F36" s="199">
        <v>660.38</v>
      </c>
      <c r="G36" s="199">
        <v>1871.1500000000003</v>
      </c>
      <c r="H36" s="199">
        <v>2074.75</v>
      </c>
      <c r="I36" s="199">
        <v>1764.8500000000001</v>
      </c>
      <c r="J36" s="199">
        <v>1089.7199999999998</v>
      </c>
      <c r="K36" s="199">
        <v>2524.380000000001</v>
      </c>
      <c r="L36" s="199">
        <v>5519.2740000000003</v>
      </c>
      <c r="M36" s="199"/>
      <c r="N36" s="199">
        <v>1478.8300000000002</v>
      </c>
      <c r="O36" s="199">
        <v>985.14</v>
      </c>
      <c r="P36" s="199">
        <v>14665.62</v>
      </c>
      <c r="Q36" s="199">
        <v>645.11999999999989</v>
      </c>
      <c r="R36" s="199">
        <v>74.400000000000006</v>
      </c>
      <c r="S36" s="199">
        <v>15.2</v>
      </c>
      <c r="T36" s="198">
        <v>16585.830000000024</v>
      </c>
      <c r="U36" s="185">
        <f t="shared" si="7"/>
        <v>3692.6472000000017</v>
      </c>
      <c r="V36" s="161">
        <f t="shared" si="6"/>
        <v>55389.708000000028</v>
      </c>
    </row>
    <row r="37" spans="1:22" x14ac:dyDescent="0.35">
      <c r="A37" s="203" t="s">
        <v>240</v>
      </c>
      <c r="B37" s="202" t="s">
        <v>147</v>
      </c>
      <c r="C37" s="201" t="s">
        <v>22</v>
      </c>
      <c r="D37" s="200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8"/>
      <c r="U37" s="185">
        <f t="shared" si="7"/>
        <v>0</v>
      </c>
      <c r="V37" s="161">
        <f t="shared" si="6"/>
        <v>0</v>
      </c>
    </row>
    <row r="38" spans="1:22" x14ac:dyDescent="0.35">
      <c r="A38" s="203" t="s">
        <v>240</v>
      </c>
      <c r="B38" s="202" t="s">
        <v>148</v>
      </c>
      <c r="C38" s="201" t="s">
        <v>22</v>
      </c>
      <c r="D38" s="200"/>
      <c r="E38" s="199">
        <v>433.85100000000006</v>
      </c>
      <c r="F38" s="199">
        <v>7.65</v>
      </c>
      <c r="G38" s="199">
        <v>413.28759999999994</v>
      </c>
      <c r="H38" s="199">
        <v>28.437800000000003</v>
      </c>
      <c r="I38" s="199">
        <v>7.8839999999999995</v>
      </c>
      <c r="J38" s="199">
        <v>76.837199999999996</v>
      </c>
      <c r="K38" s="199">
        <v>9.5512999999999995</v>
      </c>
      <c r="L38" s="199">
        <v>119.88</v>
      </c>
      <c r="M38" s="199"/>
      <c r="N38" s="199"/>
      <c r="O38" s="199">
        <v>738.5</v>
      </c>
      <c r="P38" s="199">
        <v>23.2</v>
      </c>
      <c r="Q38" s="199">
        <v>36.622099999999996</v>
      </c>
      <c r="R38" s="199">
        <v>215.6516</v>
      </c>
      <c r="S38" s="199">
        <v>2693.2584000000011</v>
      </c>
      <c r="T38" s="198">
        <v>490.7663</v>
      </c>
      <c r="U38" s="185">
        <f t="shared" si="7"/>
        <v>353.02515333333338</v>
      </c>
      <c r="V38" s="161">
        <f t="shared" si="6"/>
        <v>5295.377300000001</v>
      </c>
    </row>
    <row r="39" spans="1:22" x14ac:dyDescent="0.35">
      <c r="A39" s="203" t="s">
        <v>240</v>
      </c>
      <c r="B39" s="202" t="s">
        <v>149</v>
      </c>
      <c r="C39" s="201" t="s">
        <v>22</v>
      </c>
      <c r="D39" s="200"/>
      <c r="E39" s="199"/>
      <c r="F39" s="199">
        <v>89.835999999999999</v>
      </c>
      <c r="G39" s="199"/>
      <c r="H39" s="199">
        <v>136.20599999999999</v>
      </c>
      <c r="I39" s="199"/>
      <c r="J39" s="199"/>
      <c r="K39" s="199"/>
      <c r="L39" s="199">
        <v>666.226</v>
      </c>
      <c r="M39" s="199">
        <v>2073.3519999999999</v>
      </c>
      <c r="N39" s="199"/>
      <c r="O39" s="199">
        <v>628.13599999999997</v>
      </c>
      <c r="P39" s="199"/>
      <c r="Q39" s="199"/>
      <c r="R39" s="199">
        <v>130.66200000000001</v>
      </c>
      <c r="S39" s="199"/>
      <c r="T39" s="198"/>
      <c r="U39" s="185">
        <f t="shared" si="7"/>
        <v>248.29453333333331</v>
      </c>
      <c r="V39" s="161">
        <f t="shared" si="6"/>
        <v>3724.4179999999997</v>
      </c>
    </row>
    <row r="40" spans="1:22" x14ac:dyDescent="0.35">
      <c r="A40" s="203" t="s">
        <v>240</v>
      </c>
      <c r="B40" s="202" t="s">
        <v>150</v>
      </c>
      <c r="C40" s="201" t="s">
        <v>22</v>
      </c>
      <c r="D40" s="200"/>
      <c r="E40" s="199"/>
      <c r="F40" s="199"/>
      <c r="G40" s="199"/>
      <c r="H40" s="199"/>
      <c r="I40" s="199"/>
      <c r="J40" s="199"/>
      <c r="K40" s="199"/>
      <c r="L40" s="199"/>
      <c r="M40" s="199"/>
      <c r="N40" s="199">
        <v>1269.45</v>
      </c>
      <c r="O40" s="199"/>
      <c r="P40" s="199"/>
      <c r="Q40" s="199"/>
      <c r="R40" s="199"/>
      <c r="S40" s="199"/>
      <c r="T40" s="198"/>
      <c r="U40" s="185">
        <f t="shared" si="7"/>
        <v>84.63000000000001</v>
      </c>
      <c r="V40" s="161">
        <f t="shared" si="6"/>
        <v>1269.45</v>
      </c>
    </row>
    <row r="41" spans="1:22" x14ac:dyDescent="0.35">
      <c r="A41" s="197" t="s">
        <v>239</v>
      </c>
      <c r="B41" s="196" t="s">
        <v>137</v>
      </c>
      <c r="C41" s="195" t="s">
        <v>23</v>
      </c>
      <c r="D41" s="194"/>
      <c r="E41" s="193">
        <v>80</v>
      </c>
      <c r="F41" s="193">
        <v>72</v>
      </c>
      <c r="G41" s="193"/>
      <c r="H41" s="193"/>
      <c r="I41" s="193"/>
      <c r="J41" s="193"/>
      <c r="K41" s="193"/>
      <c r="L41" s="193"/>
      <c r="M41" s="193"/>
      <c r="N41" s="193">
        <v>1431.7999999999995</v>
      </c>
      <c r="O41" s="193"/>
      <c r="P41" s="193"/>
      <c r="Q41" s="193"/>
      <c r="R41" s="193"/>
      <c r="S41" s="193"/>
      <c r="T41" s="192"/>
      <c r="U41" s="185">
        <f t="shared" si="7"/>
        <v>105.58666666666663</v>
      </c>
      <c r="V41" s="161">
        <f t="shared" si="6"/>
        <v>1583.7999999999995</v>
      </c>
    </row>
    <row r="42" spans="1:22" x14ac:dyDescent="0.35">
      <c r="A42" s="197" t="s">
        <v>239</v>
      </c>
      <c r="B42" s="196" t="s">
        <v>138</v>
      </c>
      <c r="C42" s="195" t="s">
        <v>139</v>
      </c>
      <c r="D42" s="194"/>
      <c r="E42" s="193">
        <v>17</v>
      </c>
      <c r="F42" s="193">
        <v>80</v>
      </c>
      <c r="G42" s="193"/>
      <c r="H42" s="193">
        <v>62</v>
      </c>
      <c r="I42" s="193">
        <v>16</v>
      </c>
      <c r="J42" s="193">
        <v>28</v>
      </c>
      <c r="K42" s="193">
        <v>67</v>
      </c>
      <c r="L42" s="193">
        <v>19</v>
      </c>
      <c r="M42" s="193">
        <v>60</v>
      </c>
      <c r="N42" s="193">
        <v>52</v>
      </c>
      <c r="O42" s="193">
        <v>6</v>
      </c>
      <c r="P42" s="193">
        <v>51</v>
      </c>
      <c r="Q42" s="193">
        <v>12</v>
      </c>
      <c r="R42" s="193">
        <v>26</v>
      </c>
      <c r="S42" s="193">
        <v>20</v>
      </c>
      <c r="T42" s="192">
        <v>239</v>
      </c>
      <c r="U42" s="185">
        <f t="shared" si="7"/>
        <v>50.333333333333336</v>
      </c>
      <c r="V42" s="161">
        <f t="shared" si="6"/>
        <v>755</v>
      </c>
    </row>
    <row r="43" spans="1:22" x14ac:dyDescent="0.35">
      <c r="A43" s="197" t="s">
        <v>239</v>
      </c>
      <c r="B43" s="196" t="s">
        <v>140</v>
      </c>
      <c r="C43" s="195" t="s">
        <v>22</v>
      </c>
      <c r="D43" s="194"/>
      <c r="E43" s="193"/>
      <c r="F43" s="193"/>
      <c r="G43" s="193"/>
      <c r="H43" s="193"/>
      <c r="I43" s="193"/>
      <c r="J43" s="193"/>
      <c r="K43" s="193"/>
      <c r="L43" s="193"/>
      <c r="M43" s="193"/>
      <c r="N43" s="193"/>
      <c r="O43" s="193"/>
      <c r="P43" s="193">
        <v>2633.3307</v>
      </c>
      <c r="Q43" s="193"/>
      <c r="R43" s="193">
        <v>2879.7407000000003</v>
      </c>
      <c r="S43" s="193"/>
      <c r="T43" s="192">
        <v>5415.1200000000008</v>
      </c>
      <c r="U43" s="185">
        <f t="shared" si="7"/>
        <v>728.54609333333349</v>
      </c>
      <c r="V43" s="161">
        <f t="shared" si="6"/>
        <v>10928.191400000002</v>
      </c>
    </row>
    <row r="44" spans="1:22" x14ac:dyDescent="0.35">
      <c r="A44" s="197" t="s">
        <v>239</v>
      </c>
      <c r="B44" s="196" t="s">
        <v>141</v>
      </c>
      <c r="C44" s="195" t="s">
        <v>22</v>
      </c>
      <c r="D44" s="194"/>
      <c r="E44" s="193">
        <v>26010.286599999999</v>
      </c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2"/>
      <c r="U44" s="185">
        <f t="shared" si="7"/>
        <v>1734.0191066666666</v>
      </c>
      <c r="V44" s="161">
        <f t="shared" si="6"/>
        <v>26010.286599999999</v>
      </c>
    </row>
    <row r="45" spans="1:22" x14ac:dyDescent="0.35">
      <c r="A45" s="197" t="s">
        <v>239</v>
      </c>
      <c r="B45" s="196" t="s">
        <v>142</v>
      </c>
      <c r="C45" s="195" t="s">
        <v>22</v>
      </c>
      <c r="D45" s="194"/>
      <c r="E45" s="193">
        <v>939.60000000000014</v>
      </c>
      <c r="F45" s="193"/>
      <c r="G45" s="193"/>
      <c r="H45" s="193"/>
      <c r="I45" s="193">
        <v>153.6</v>
      </c>
      <c r="J45" s="193">
        <v>5940.5999999999949</v>
      </c>
      <c r="K45" s="193">
        <v>795</v>
      </c>
      <c r="L45" s="193">
        <v>12065.40000000002</v>
      </c>
      <c r="M45" s="193"/>
      <c r="N45" s="193">
        <v>1468.8000000000002</v>
      </c>
      <c r="O45" s="193">
        <v>1595.4</v>
      </c>
      <c r="P45" s="193">
        <v>12299.400000000007</v>
      </c>
      <c r="Q45" s="193">
        <v>939.60000000000014</v>
      </c>
      <c r="R45" s="193"/>
      <c r="S45" s="193"/>
      <c r="T45" s="192"/>
      <c r="U45" s="185">
        <f t="shared" si="7"/>
        <v>2413.1600000000017</v>
      </c>
      <c r="V45" s="161">
        <f t="shared" si="6"/>
        <v>36197.400000000023</v>
      </c>
    </row>
    <row r="46" spans="1:22" x14ac:dyDescent="0.35">
      <c r="A46" s="197" t="s">
        <v>239</v>
      </c>
      <c r="B46" s="196" t="s">
        <v>143</v>
      </c>
      <c r="C46" s="195" t="s">
        <v>22</v>
      </c>
      <c r="D46" s="194"/>
      <c r="E46" s="193">
        <v>1258.2</v>
      </c>
      <c r="F46" s="193">
        <v>164.4</v>
      </c>
      <c r="G46" s="193"/>
      <c r="H46" s="193"/>
      <c r="I46" s="193"/>
      <c r="J46" s="193"/>
      <c r="K46" s="193"/>
      <c r="L46" s="193"/>
      <c r="M46" s="193"/>
      <c r="N46" s="193"/>
      <c r="O46" s="193"/>
      <c r="P46" s="193"/>
      <c r="Q46" s="193"/>
      <c r="R46" s="193"/>
      <c r="S46" s="193"/>
      <c r="T46" s="192">
        <v>82.2</v>
      </c>
      <c r="U46" s="185">
        <f t="shared" si="7"/>
        <v>100.32000000000001</v>
      </c>
      <c r="V46" s="161">
        <f t="shared" si="6"/>
        <v>1504.8000000000002</v>
      </c>
    </row>
    <row r="47" spans="1:22" x14ac:dyDescent="0.35">
      <c r="A47" s="197" t="s">
        <v>239</v>
      </c>
      <c r="B47" s="196" t="s">
        <v>145</v>
      </c>
      <c r="C47" s="195" t="s">
        <v>23</v>
      </c>
      <c r="D47" s="194"/>
      <c r="E47" s="193">
        <v>384.1</v>
      </c>
      <c r="F47" s="193">
        <v>276.40000000000003</v>
      </c>
      <c r="G47" s="193">
        <v>1086.0999999999999</v>
      </c>
      <c r="H47" s="193">
        <v>360.3</v>
      </c>
      <c r="I47" s="193">
        <v>628.30000000000007</v>
      </c>
      <c r="J47" s="193">
        <v>519.09999999999991</v>
      </c>
      <c r="K47" s="193">
        <v>413.20000000000022</v>
      </c>
      <c r="L47" s="193">
        <v>175</v>
      </c>
      <c r="M47" s="193">
        <v>403.20000000000005</v>
      </c>
      <c r="N47" s="193">
        <v>173.2</v>
      </c>
      <c r="O47" s="193">
        <v>85.5</v>
      </c>
      <c r="P47" s="193">
        <v>35.799999999999997</v>
      </c>
      <c r="Q47" s="193">
        <v>564.80000000000007</v>
      </c>
      <c r="R47" s="193">
        <v>514.5</v>
      </c>
      <c r="S47" s="193">
        <v>187.79999999999998</v>
      </c>
      <c r="T47" s="192">
        <v>17.5</v>
      </c>
      <c r="U47" s="185">
        <f t="shared" si="7"/>
        <v>388.32000000000005</v>
      </c>
      <c r="V47" s="161">
        <f t="shared" si="6"/>
        <v>5824.8000000000011</v>
      </c>
    </row>
    <row r="48" spans="1:22" x14ac:dyDescent="0.35">
      <c r="A48" s="197" t="s">
        <v>239</v>
      </c>
      <c r="B48" s="196" t="s">
        <v>148</v>
      </c>
      <c r="C48" s="195" t="s">
        <v>22</v>
      </c>
      <c r="D48" s="194"/>
      <c r="E48" s="193">
        <v>559.5489</v>
      </c>
      <c r="F48" s="193">
        <v>31</v>
      </c>
      <c r="G48" s="193">
        <v>34.751599999999996</v>
      </c>
      <c r="H48" s="193"/>
      <c r="I48" s="193"/>
      <c r="J48" s="193"/>
      <c r="K48" s="193">
        <v>6.5595999999999997</v>
      </c>
      <c r="L48" s="193">
        <v>160.67599999999999</v>
      </c>
      <c r="M48" s="193"/>
      <c r="N48" s="193">
        <v>20.824000000000002</v>
      </c>
      <c r="O48" s="193">
        <v>1511.3587999999988</v>
      </c>
      <c r="P48" s="193">
        <v>163.73399999999998</v>
      </c>
      <c r="Q48" s="193">
        <v>32.119500000000002</v>
      </c>
      <c r="R48" s="193">
        <v>127.4196</v>
      </c>
      <c r="S48" s="193">
        <v>681.24229999999898</v>
      </c>
      <c r="T48" s="192">
        <v>152.28040000000001</v>
      </c>
      <c r="U48" s="185">
        <f t="shared" si="7"/>
        <v>232.10097999999985</v>
      </c>
      <c r="V48" s="161">
        <f t="shared" si="6"/>
        <v>3481.5146999999979</v>
      </c>
    </row>
    <row r="49" spans="1:22" x14ac:dyDescent="0.35">
      <c r="A49" s="197" t="s">
        <v>239</v>
      </c>
      <c r="B49" s="196" t="s">
        <v>149</v>
      </c>
      <c r="C49" s="195" t="s">
        <v>22</v>
      </c>
      <c r="D49" s="194"/>
      <c r="E49" s="193"/>
      <c r="F49" s="193"/>
      <c r="G49" s="193"/>
      <c r="H49" s="193"/>
      <c r="I49" s="193"/>
      <c r="J49" s="193"/>
      <c r="K49" s="193"/>
      <c r="L49" s="193"/>
      <c r="M49" s="193">
        <v>616.14599999999996</v>
      </c>
      <c r="N49" s="193"/>
      <c r="O49" s="193"/>
      <c r="P49" s="193"/>
      <c r="Q49" s="193"/>
      <c r="R49" s="193"/>
      <c r="S49" s="193"/>
      <c r="T49" s="192"/>
      <c r="U49" s="185">
        <f t="shared" si="7"/>
        <v>41.0764</v>
      </c>
      <c r="V49" s="161">
        <f t="shared" si="6"/>
        <v>616.14599999999996</v>
      </c>
    </row>
    <row r="50" spans="1:22" ht="15" thickBot="1" x14ac:dyDescent="0.4">
      <c r="A50" s="191" t="s">
        <v>239</v>
      </c>
      <c r="B50" s="190" t="s">
        <v>150</v>
      </c>
      <c r="C50" s="189" t="s">
        <v>22</v>
      </c>
      <c r="D50" s="188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>
        <v>2019.3</v>
      </c>
      <c r="R50" s="187"/>
      <c r="S50" s="187">
        <v>1947.75</v>
      </c>
      <c r="T50" s="186">
        <v>1128.75</v>
      </c>
      <c r="U50" s="185">
        <f t="shared" si="7"/>
        <v>339.72</v>
      </c>
      <c r="V50" s="161">
        <f t="shared" si="6"/>
        <v>5095.8</v>
      </c>
    </row>
    <row r="51" spans="1:22" ht="15" thickBot="1" x14ac:dyDescent="0.4"/>
    <row r="52" spans="1:22" ht="15" thickBot="1" x14ac:dyDescent="0.4">
      <c r="A52" s="184" t="s">
        <v>244</v>
      </c>
    </row>
    <row r="53" spans="1:22" ht="15" thickBot="1" x14ac:dyDescent="0.4">
      <c r="A53" s="183" t="s">
        <v>1</v>
      </c>
      <c r="B53" s="182" t="s">
        <v>243</v>
      </c>
      <c r="C53" s="182" t="s">
        <v>3</v>
      </c>
      <c r="D53" s="181"/>
      <c r="E53" s="181">
        <v>2024</v>
      </c>
      <c r="F53" s="181">
        <v>2025</v>
      </c>
      <c r="G53" s="181">
        <v>2026</v>
      </c>
      <c r="H53" s="181">
        <v>2027</v>
      </c>
      <c r="I53" s="181">
        <v>2028</v>
      </c>
      <c r="J53" s="181">
        <v>2029</v>
      </c>
      <c r="K53" s="181">
        <v>2030</v>
      </c>
      <c r="L53" s="181">
        <v>2031</v>
      </c>
      <c r="M53" s="181">
        <v>2032</v>
      </c>
      <c r="N53" s="181">
        <v>2033</v>
      </c>
      <c r="O53" s="181">
        <v>2034</v>
      </c>
      <c r="P53" s="181">
        <v>2035</v>
      </c>
      <c r="Q53" s="181">
        <v>2036</v>
      </c>
      <c r="R53" s="181">
        <v>2037</v>
      </c>
      <c r="S53" s="181">
        <v>2038</v>
      </c>
      <c r="T53" s="180">
        <v>2039</v>
      </c>
    </row>
    <row r="54" spans="1:22" x14ac:dyDescent="0.35">
      <c r="A54" s="179" t="s">
        <v>240</v>
      </c>
      <c r="B54" s="178" t="s">
        <v>137</v>
      </c>
      <c r="C54" s="177" t="s">
        <v>23</v>
      </c>
      <c r="D54" s="176"/>
      <c r="E54" s="220">
        <v>1753.6000000000006</v>
      </c>
      <c r="F54" s="220">
        <v>75.2</v>
      </c>
      <c r="G54" s="220"/>
      <c r="H54" s="220">
        <v>225</v>
      </c>
      <c r="I54" s="220">
        <v>340.6</v>
      </c>
      <c r="J54" s="220">
        <v>212.2</v>
      </c>
      <c r="K54" s="220"/>
      <c r="L54" s="220"/>
      <c r="M54" s="220">
        <v>230.8</v>
      </c>
      <c r="N54" s="220"/>
      <c r="O54" s="220"/>
      <c r="P54" s="220"/>
      <c r="Q54" s="220">
        <v>361</v>
      </c>
      <c r="R54" s="220">
        <v>71.8</v>
      </c>
      <c r="S54" s="220">
        <v>1187.6920000000002</v>
      </c>
      <c r="T54" s="506">
        <v>1777.9200000000003</v>
      </c>
    </row>
    <row r="55" spans="1:22" x14ac:dyDescent="0.35">
      <c r="A55" s="179" t="s">
        <v>240</v>
      </c>
      <c r="B55" s="178" t="s">
        <v>138</v>
      </c>
      <c r="C55" s="177" t="s">
        <v>139</v>
      </c>
      <c r="D55" s="176"/>
      <c r="E55" s="175">
        <v>227</v>
      </c>
      <c r="F55" s="175">
        <v>71</v>
      </c>
      <c r="G55" s="175"/>
      <c r="H55" s="175">
        <v>219</v>
      </c>
      <c r="I55" s="175">
        <v>306</v>
      </c>
      <c r="J55" s="175">
        <v>22</v>
      </c>
      <c r="K55" s="175">
        <v>6</v>
      </c>
      <c r="L55" s="175">
        <v>32</v>
      </c>
      <c r="M55" s="175">
        <v>90</v>
      </c>
      <c r="N55" s="175">
        <v>164</v>
      </c>
      <c r="O55" s="175">
        <v>10</v>
      </c>
      <c r="P55" s="175">
        <v>66</v>
      </c>
      <c r="Q55" s="175">
        <v>25</v>
      </c>
      <c r="R55" s="175">
        <v>215</v>
      </c>
      <c r="S55" s="175">
        <v>779</v>
      </c>
      <c r="T55" s="174">
        <v>205</v>
      </c>
    </row>
    <row r="56" spans="1:22" x14ac:dyDescent="0.35">
      <c r="A56" s="179" t="s">
        <v>240</v>
      </c>
      <c r="B56" s="178" t="s">
        <v>140</v>
      </c>
      <c r="C56" s="177" t="s">
        <v>22</v>
      </c>
      <c r="D56" s="176"/>
      <c r="E56" s="175"/>
      <c r="F56" s="175"/>
      <c r="G56" s="175"/>
      <c r="H56" s="175">
        <v>25239.216000000004</v>
      </c>
      <c r="I56" s="175">
        <v>101.04</v>
      </c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4">
        <v>6153.8709999999974</v>
      </c>
    </row>
    <row r="57" spans="1:22" x14ac:dyDescent="0.35">
      <c r="A57" s="179" t="s">
        <v>240</v>
      </c>
      <c r="B57" s="178" t="s">
        <v>141</v>
      </c>
      <c r="C57" s="177" t="s">
        <v>22</v>
      </c>
      <c r="D57" s="176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4"/>
    </row>
    <row r="58" spans="1:22" x14ac:dyDescent="0.35">
      <c r="A58" s="179" t="s">
        <v>240</v>
      </c>
      <c r="B58" s="178" t="s">
        <v>142</v>
      </c>
      <c r="C58" s="177" t="s">
        <v>22</v>
      </c>
      <c r="D58" s="176"/>
      <c r="E58" s="175"/>
      <c r="F58" s="175">
        <v>451.2075000000001</v>
      </c>
      <c r="G58" s="175"/>
      <c r="H58" s="175">
        <v>1550.6348999999998</v>
      </c>
      <c r="I58" s="175">
        <v>440.48250000000007</v>
      </c>
      <c r="J58" s="175">
        <v>22.91</v>
      </c>
      <c r="K58" s="175">
        <v>1.7250000000000001</v>
      </c>
      <c r="L58" s="175"/>
      <c r="M58" s="175"/>
      <c r="N58" s="175">
        <v>356.1875</v>
      </c>
      <c r="O58" s="175">
        <v>104.69000000000001</v>
      </c>
      <c r="P58" s="175"/>
      <c r="Q58" s="175">
        <v>101.5</v>
      </c>
      <c r="R58" s="175"/>
      <c r="S58" s="175"/>
      <c r="T58" s="174">
        <v>13806.044300000016</v>
      </c>
    </row>
    <row r="59" spans="1:22" x14ac:dyDescent="0.35">
      <c r="A59" s="179" t="s">
        <v>240</v>
      </c>
      <c r="B59" s="178" t="s">
        <v>143</v>
      </c>
      <c r="C59" s="177" t="s">
        <v>22</v>
      </c>
      <c r="D59" s="176"/>
      <c r="E59" s="175">
        <v>473.94180000000006</v>
      </c>
      <c r="F59" s="175"/>
      <c r="G59" s="175"/>
      <c r="H59" s="175"/>
      <c r="I59" s="175"/>
      <c r="J59" s="175"/>
      <c r="K59" s="175"/>
      <c r="L59" s="175">
        <v>46.02</v>
      </c>
      <c r="M59" s="175"/>
      <c r="N59" s="175">
        <v>34.081800000000001</v>
      </c>
      <c r="O59" s="175"/>
      <c r="P59" s="175"/>
      <c r="Q59" s="175"/>
      <c r="R59" s="175"/>
      <c r="S59" s="175"/>
      <c r="T59" s="174">
        <v>1050.4024999999995</v>
      </c>
    </row>
    <row r="60" spans="1:22" x14ac:dyDescent="0.35">
      <c r="A60" s="179" t="s">
        <v>240</v>
      </c>
      <c r="B60" s="178" t="s">
        <v>144</v>
      </c>
      <c r="C60" s="177" t="s">
        <v>22</v>
      </c>
      <c r="D60" s="176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>
        <v>8.6394000000000002</v>
      </c>
      <c r="S60" s="175"/>
      <c r="T60" s="174">
        <v>132.26079999999999</v>
      </c>
    </row>
    <row r="61" spans="1:22" x14ac:dyDescent="0.35">
      <c r="A61" s="179" t="s">
        <v>240</v>
      </c>
      <c r="B61" s="178" t="s">
        <v>145</v>
      </c>
      <c r="C61" s="177" t="s">
        <v>22</v>
      </c>
      <c r="D61" s="176"/>
      <c r="E61" s="175">
        <v>2193.9399999999996</v>
      </c>
      <c r="F61" s="175">
        <v>1314.9999999999995</v>
      </c>
      <c r="G61" s="175">
        <v>1049.4000000000001</v>
      </c>
      <c r="H61" s="175">
        <v>543.66</v>
      </c>
      <c r="I61" s="175">
        <v>1226.4000000000003</v>
      </c>
      <c r="J61" s="175">
        <v>652.85000000000014</v>
      </c>
      <c r="K61" s="175">
        <v>193.58000000000004</v>
      </c>
      <c r="L61" s="175">
        <v>1491.0600000000004</v>
      </c>
      <c r="M61" s="175">
        <v>2154.4</v>
      </c>
      <c r="N61" s="175">
        <v>443.20000000000005</v>
      </c>
      <c r="O61" s="175">
        <v>402.2</v>
      </c>
      <c r="P61" s="175">
        <v>557.20000000000005</v>
      </c>
      <c r="Q61" s="175">
        <v>678.16999999999973</v>
      </c>
      <c r="R61" s="175">
        <v>1488.3999999999996</v>
      </c>
      <c r="S61" s="175">
        <v>274.89999999999998</v>
      </c>
      <c r="T61" s="174">
        <v>1370.1999999999996</v>
      </c>
    </row>
    <row r="62" spans="1:22" x14ac:dyDescent="0.35">
      <c r="A62" s="179" t="s">
        <v>240</v>
      </c>
      <c r="B62" s="178" t="s">
        <v>146</v>
      </c>
      <c r="C62" s="177" t="s">
        <v>23</v>
      </c>
      <c r="D62" s="176"/>
      <c r="E62" s="175">
        <v>345.81</v>
      </c>
      <c r="F62" s="175">
        <v>254.60999999999996</v>
      </c>
      <c r="G62" s="175"/>
      <c r="H62" s="175">
        <v>44436.426000000014</v>
      </c>
      <c r="I62" s="175">
        <v>474.86999999999989</v>
      </c>
      <c r="J62" s="175">
        <v>14.22</v>
      </c>
      <c r="K62" s="175">
        <v>2.7</v>
      </c>
      <c r="L62" s="175">
        <v>70.8</v>
      </c>
      <c r="M62" s="175"/>
      <c r="N62" s="175">
        <v>263.3</v>
      </c>
      <c r="O62" s="175">
        <v>64.97999999999999</v>
      </c>
      <c r="P62" s="175"/>
      <c r="Q62" s="175">
        <v>63</v>
      </c>
      <c r="R62" s="175"/>
      <c r="S62" s="175"/>
      <c r="T62" s="174">
        <v>21887.815000000013</v>
      </c>
    </row>
    <row r="63" spans="1:22" x14ac:dyDescent="0.35">
      <c r="A63" s="179" t="s">
        <v>240</v>
      </c>
      <c r="B63" s="178" t="s">
        <v>147</v>
      </c>
      <c r="C63" s="177" t="s">
        <v>22</v>
      </c>
      <c r="D63" s="176"/>
      <c r="E63" s="175">
        <v>78.5</v>
      </c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>
        <v>8.5</v>
      </c>
      <c r="Q63" s="175"/>
      <c r="R63" s="175"/>
      <c r="S63" s="175"/>
      <c r="T63" s="174"/>
      <c r="U63">
        <f>SUM(E63:T63)</f>
        <v>87</v>
      </c>
    </row>
    <row r="64" spans="1:22" x14ac:dyDescent="0.35">
      <c r="A64" s="179" t="s">
        <v>240</v>
      </c>
      <c r="B64" s="178" t="s">
        <v>148</v>
      </c>
      <c r="C64" s="177" t="s">
        <v>22</v>
      </c>
      <c r="D64" s="176"/>
      <c r="E64" s="175">
        <v>1131.0951</v>
      </c>
      <c r="F64" s="175">
        <v>10.480499999999999</v>
      </c>
      <c r="G64" s="175"/>
      <c r="H64" s="175">
        <v>27.506699999999999</v>
      </c>
      <c r="I64" s="175">
        <v>530.22609999999986</v>
      </c>
      <c r="J64" s="175">
        <v>13.718299999999999</v>
      </c>
      <c r="K64" s="175"/>
      <c r="L64" s="175">
        <v>169.96049999999991</v>
      </c>
      <c r="M64" s="175">
        <v>16.38</v>
      </c>
      <c r="N64" s="175">
        <v>162.37199999999996</v>
      </c>
      <c r="O64" s="175">
        <v>4489.3772999999992</v>
      </c>
      <c r="P64" s="175">
        <v>7.3259999999999987</v>
      </c>
      <c r="Q64" s="175">
        <v>32.686199999999999</v>
      </c>
      <c r="R64" s="175">
        <v>1398.8281999999992</v>
      </c>
      <c r="S64" s="175">
        <v>1331.3521999999989</v>
      </c>
      <c r="T64" s="174">
        <v>1129.2865999999997</v>
      </c>
    </row>
    <row r="65" spans="1:22" x14ac:dyDescent="0.35">
      <c r="A65" s="179" t="s">
        <v>240</v>
      </c>
      <c r="B65" s="178" t="s">
        <v>149</v>
      </c>
      <c r="C65" s="177" t="s">
        <v>22</v>
      </c>
      <c r="D65" s="176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4">
        <v>56.42</v>
      </c>
    </row>
    <row r="66" spans="1:22" x14ac:dyDescent="0.35">
      <c r="A66" s="179" t="s">
        <v>240</v>
      </c>
      <c r="B66" s="178" t="s">
        <v>150</v>
      </c>
      <c r="C66" s="177" t="s">
        <v>22</v>
      </c>
      <c r="D66" s="176"/>
      <c r="E66" s="175">
        <v>6353.0660000000007</v>
      </c>
      <c r="F66" s="175"/>
      <c r="G66" s="175">
        <v>848.78</v>
      </c>
      <c r="H66" s="175"/>
      <c r="I66" s="175"/>
      <c r="J66" s="175"/>
      <c r="K66" s="175"/>
      <c r="L66" s="175">
        <v>681.03</v>
      </c>
      <c r="M66" s="175">
        <v>3331.13</v>
      </c>
      <c r="N66" s="175">
        <v>43177.125999999967</v>
      </c>
      <c r="O66" s="175"/>
      <c r="P66" s="175"/>
      <c r="Q66" s="175">
        <v>7889.8000000000011</v>
      </c>
      <c r="R66" s="175"/>
      <c r="S66" s="175"/>
      <c r="T66" s="174"/>
    </row>
    <row r="67" spans="1:22" x14ac:dyDescent="0.35">
      <c r="A67" s="173" t="s">
        <v>239</v>
      </c>
      <c r="B67" s="172" t="s">
        <v>137</v>
      </c>
      <c r="C67" s="171" t="s">
        <v>23</v>
      </c>
      <c r="D67" s="170"/>
      <c r="E67" s="220"/>
      <c r="F67" s="220"/>
      <c r="G67" s="220"/>
      <c r="H67" s="220">
        <v>152</v>
      </c>
      <c r="I67" s="220"/>
      <c r="J67" s="220"/>
      <c r="K67" s="220"/>
      <c r="L67" s="220"/>
      <c r="M67" s="220"/>
      <c r="N67" s="220">
        <v>256.60000000000002</v>
      </c>
      <c r="O67" s="220"/>
      <c r="P67" s="220"/>
      <c r="Q67" s="220"/>
      <c r="R67" s="220"/>
      <c r="S67" s="220">
        <v>1175.2</v>
      </c>
      <c r="T67" s="506"/>
    </row>
    <row r="68" spans="1:22" x14ac:dyDescent="0.35">
      <c r="A68" s="173" t="s">
        <v>239</v>
      </c>
      <c r="B68" s="172" t="s">
        <v>138</v>
      </c>
      <c r="C68" s="171" t="s">
        <v>139</v>
      </c>
      <c r="D68" s="170"/>
      <c r="E68" s="169">
        <v>115</v>
      </c>
      <c r="F68" s="169"/>
      <c r="G68" s="169">
        <v>11</v>
      </c>
      <c r="H68" s="169">
        <v>11</v>
      </c>
      <c r="I68" s="169">
        <v>96</v>
      </c>
      <c r="J68" s="169">
        <v>14</v>
      </c>
      <c r="K68" s="169"/>
      <c r="L68" s="169">
        <v>77</v>
      </c>
      <c r="M68" s="169">
        <v>61</v>
      </c>
      <c r="N68" s="169">
        <v>98</v>
      </c>
      <c r="O68" s="169"/>
      <c r="P68" s="169"/>
      <c r="Q68" s="169">
        <v>77</v>
      </c>
      <c r="R68" s="169">
        <v>42</v>
      </c>
      <c r="S68" s="169">
        <v>4</v>
      </c>
      <c r="T68" s="168"/>
    </row>
    <row r="69" spans="1:22" x14ac:dyDescent="0.35">
      <c r="A69" s="173" t="s">
        <v>239</v>
      </c>
      <c r="B69" s="172" t="s">
        <v>140</v>
      </c>
      <c r="C69" s="171" t="s">
        <v>22</v>
      </c>
      <c r="D69" s="170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>
        <v>2879.7406999999998</v>
      </c>
      <c r="S69" s="169"/>
      <c r="T69" s="168">
        <v>5415.1200000000008</v>
      </c>
    </row>
    <row r="70" spans="1:22" x14ac:dyDescent="0.35">
      <c r="A70" s="173" t="s">
        <v>239</v>
      </c>
      <c r="B70" s="172" t="s">
        <v>141</v>
      </c>
      <c r="C70" s="171" t="s">
        <v>22</v>
      </c>
      <c r="D70" s="170"/>
      <c r="E70" s="169">
        <v>26010.286599999999</v>
      </c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8"/>
    </row>
    <row r="71" spans="1:22" x14ac:dyDescent="0.35">
      <c r="A71" s="173" t="s">
        <v>239</v>
      </c>
      <c r="B71" s="172" t="s">
        <v>142</v>
      </c>
      <c r="C71" s="171" t="s">
        <v>22</v>
      </c>
      <c r="D71" s="170"/>
      <c r="E71" s="169">
        <v>192</v>
      </c>
      <c r="F71" s="169"/>
      <c r="G71" s="169"/>
      <c r="H71" s="169"/>
      <c r="I71" s="169"/>
      <c r="J71" s="169">
        <v>267</v>
      </c>
      <c r="K71" s="169">
        <v>756</v>
      </c>
      <c r="L71" s="169">
        <v>364.8</v>
      </c>
      <c r="M71" s="169"/>
      <c r="N71" s="169"/>
      <c r="O71" s="169"/>
      <c r="P71" s="169"/>
      <c r="Q71" s="169">
        <v>153.6</v>
      </c>
      <c r="R71" s="169">
        <v>2193.6</v>
      </c>
      <c r="S71" s="169">
        <v>1562.9999999999998</v>
      </c>
      <c r="T71" s="168"/>
    </row>
    <row r="72" spans="1:22" x14ac:dyDescent="0.35">
      <c r="A72" s="173" t="s">
        <v>239</v>
      </c>
      <c r="B72" s="172" t="s">
        <v>143</v>
      </c>
      <c r="C72" s="171" t="s">
        <v>22</v>
      </c>
      <c r="D72" s="170"/>
      <c r="E72" s="169">
        <v>1422.6000000000001</v>
      </c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8"/>
    </row>
    <row r="73" spans="1:22" x14ac:dyDescent="0.35">
      <c r="A73" s="173" t="s">
        <v>239</v>
      </c>
      <c r="B73" s="172" t="s">
        <v>145</v>
      </c>
      <c r="C73" s="171" t="s">
        <v>23</v>
      </c>
      <c r="D73" s="170"/>
      <c r="E73" s="169">
        <v>1276.9000000000003</v>
      </c>
      <c r="F73" s="169">
        <v>541.79999999999995</v>
      </c>
      <c r="G73" s="169">
        <v>28.5</v>
      </c>
      <c r="H73" s="169"/>
      <c r="I73" s="169">
        <v>34.200000000000003</v>
      </c>
      <c r="J73" s="169">
        <v>461</v>
      </c>
      <c r="K73" s="169"/>
      <c r="L73" s="169">
        <v>307.7</v>
      </c>
      <c r="M73" s="169">
        <v>1445.2</v>
      </c>
      <c r="N73" s="169"/>
      <c r="O73" s="169">
        <v>121.10000000000001</v>
      </c>
      <c r="P73" s="169">
        <v>956.99999999999989</v>
      </c>
      <c r="Q73" s="169">
        <v>499.79999999999995</v>
      </c>
      <c r="R73" s="169"/>
      <c r="S73" s="169"/>
      <c r="T73" s="168"/>
    </row>
    <row r="74" spans="1:22" x14ac:dyDescent="0.35">
      <c r="A74" s="173" t="s">
        <v>239</v>
      </c>
      <c r="B74" s="172" t="s">
        <v>148</v>
      </c>
      <c r="C74" s="171" t="s">
        <v>22</v>
      </c>
      <c r="D74" s="170"/>
      <c r="E74" s="169">
        <v>3.8475000000000001</v>
      </c>
      <c r="F74" s="169"/>
      <c r="G74" s="169">
        <v>3.9870000000000001</v>
      </c>
      <c r="H74" s="169"/>
      <c r="I74" s="169"/>
      <c r="J74" s="169"/>
      <c r="K74" s="169">
        <v>57.642800000000008</v>
      </c>
      <c r="L74" s="169">
        <v>30.364600000000003</v>
      </c>
      <c r="M74" s="169">
        <v>72.518699999999995</v>
      </c>
      <c r="N74" s="169">
        <v>18.747</v>
      </c>
      <c r="O74" s="169"/>
      <c r="P74" s="169"/>
      <c r="Q74" s="169">
        <v>37.0794</v>
      </c>
      <c r="R74" s="169">
        <v>24.343500000000002</v>
      </c>
      <c r="S74" s="169">
        <v>3222.4236999999998</v>
      </c>
      <c r="T74" s="168">
        <v>530.85029999999995</v>
      </c>
    </row>
    <row r="75" spans="1:22" x14ac:dyDescent="0.35">
      <c r="A75" s="173" t="s">
        <v>239</v>
      </c>
      <c r="B75" s="172" t="s">
        <v>149</v>
      </c>
      <c r="C75" s="171" t="s">
        <v>22</v>
      </c>
      <c r="D75" s="170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8"/>
    </row>
    <row r="76" spans="1:22" ht="15" thickBot="1" x14ac:dyDescent="0.4">
      <c r="A76" s="167" t="s">
        <v>239</v>
      </c>
      <c r="B76" s="166" t="s">
        <v>150</v>
      </c>
      <c r="C76" s="165" t="s">
        <v>22</v>
      </c>
      <c r="D76" s="164"/>
      <c r="E76" s="163">
        <v>2895.3599999999997</v>
      </c>
      <c r="F76" s="163"/>
      <c r="G76" s="163"/>
      <c r="H76" s="163"/>
      <c r="I76" s="163"/>
      <c r="J76" s="163"/>
      <c r="K76" s="163"/>
      <c r="L76" s="163"/>
      <c r="M76" s="163">
        <v>526.81999999999994</v>
      </c>
      <c r="N76" s="163">
        <v>20068.759999999998</v>
      </c>
      <c r="O76" s="163">
        <v>30614.429999999953</v>
      </c>
      <c r="P76" s="163"/>
      <c r="Q76" s="163">
        <v>1365.76</v>
      </c>
      <c r="R76" s="163"/>
      <c r="S76" s="163"/>
      <c r="T76" s="162"/>
    </row>
    <row r="78" spans="1:22" ht="15" thickBot="1" x14ac:dyDescent="0.4"/>
    <row r="79" spans="1:22" ht="15" thickBot="1" x14ac:dyDescent="0.4">
      <c r="A79" s="150" t="s">
        <v>246</v>
      </c>
    </row>
    <row r="80" spans="1:22" ht="15" thickBot="1" x14ac:dyDescent="0.4">
      <c r="A80" s="122" t="s">
        <v>1</v>
      </c>
      <c r="B80" s="121" t="s">
        <v>243</v>
      </c>
      <c r="C80" s="121" t="s">
        <v>3</v>
      </c>
      <c r="D80" s="121"/>
      <c r="E80" s="120">
        <v>2024</v>
      </c>
      <c r="F80" s="120">
        <v>2025</v>
      </c>
      <c r="G80" s="120">
        <v>2026</v>
      </c>
      <c r="H80" s="120">
        <v>2027</v>
      </c>
      <c r="I80" s="120">
        <v>2028</v>
      </c>
      <c r="J80" s="120">
        <v>2029</v>
      </c>
      <c r="K80" s="120">
        <v>2030</v>
      </c>
      <c r="L80" s="120">
        <v>2031</v>
      </c>
      <c r="M80" s="120">
        <v>2032</v>
      </c>
      <c r="N80" s="120">
        <v>2033</v>
      </c>
      <c r="O80" s="120">
        <v>2034</v>
      </c>
      <c r="P80" s="120">
        <v>2035</v>
      </c>
      <c r="Q80" s="120">
        <v>2036</v>
      </c>
      <c r="R80" s="120">
        <v>2037</v>
      </c>
      <c r="S80" s="120">
        <v>2038</v>
      </c>
      <c r="T80" s="120">
        <v>2039</v>
      </c>
      <c r="U80" s="119" t="s">
        <v>87</v>
      </c>
      <c r="V80" s="161" t="s">
        <v>245</v>
      </c>
    </row>
    <row r="81" spans="1:22" x14ac:dyDescent="0.35">
      <c r="A81" s="160" t="s">
        <v>240</v>
      </c>
      <c r="B81" s="159" t="s">
        <v>137</v>
      </c>
      <c r="C81" s="158" t="s">
        <v>241</v>
      </c>
      <c r="D81" s="157"/>
      <c r="E81" s="510"/>
      <c r="F81" s="511"/>
      <c r="G81" s="511"/>
      <c r="H81" s="511"/>
      <c r="I81" s="511"/>
      <c r="J81" s="511"/>
      <c r="K81" s="511"/>
      <c r="L81" s="511"/>
      <c r="M81" s="511"/>
      <c r="N81" s="511"/>
      <c r="O81" s="511"/>
      <c r="P81" s="511"/>
      <c r="Q81" s="511"/>
      <c r="R81" s="511"/>
      <c r="S81" s="511"/>
      <c r="T81" s="511"/>
      <c r="U81" s="145">
        <f t="shared" ref="U81:U89" si="8">SUM(E81:T81)</f>
        <v>0</v>
      </c>
      <c r="V81" s="90">
        <f t="shared" ref="V81:V89" si="9">U81/V28</f>
        <v>0</v>
      </c>
    </row>
    <row r="82" spans="1:22" x14ac:dyDescent="0.35">
      <c r="A82" s="156" t="s">
        <v>240</v>
      </c>
      <c r="B82" s="155" t="s">
        <v>138</v>
      </c>
      <c r="C82" s="154" t="s">
        <v>241</v>
      </c>
      <c r="D82" s="153"/>
      <c r="E82" s="152">
        <v>1064573.3999999999</v>
      </c>
      <c r="F82" s="151">
        <v>631170</v>
      </c>
      <c r="G82" s="151">
        <v>210390</v>
      </c>
      <c r="H82" s="151">
        <v>1716112.1</v>
      </c>
      <c r="I82" s="151">
        <v>1051950</v>
      </c>
      <c r="J82" s="151">
        <v>1855639.8</v>
      </c>
      <c r="K82" s="151">
        <v>2005016.7</v>
      </c>
      <c r="L82" s="151">
        <v>841560</v>
      </c>
      <c r="M82" s="151">
        <v>2873979.6</v>
      </c>
      <c r="N82" s="151">
        <v>2350056.3000000003</v>
      </c>
      <c r="O82" s="151">
        <v>3629320.5</v>
      </c>
      <c r="P82" s="151">
        <v>1779899.4000000001</v>
      </c>
      <c r="Q82" s="151"/>
      <c r="R82" s="151">
        <v>3139018.8</v>
      </c>
      <c r="S82" s="151">
        <v>1051950</v>
      </c>
      <c r="T82" s="151">
        <v>3054862.8</v>
      </c>
      <c r="U82" s="130">
        <f t="shared" si="8"/>
        <v>27255499.399999999</v>
      </c>
      <c r="V82" s="90">
        <f t="shared" si="9"/>
        <v>16281.660334528076</v>
      </c>
    </row>
    <row r="83" spans="1:22" x14ac:dyDescent="0.35">
      <c r="A83" s="156" t="s">
        <v>240</v>
      </c>
      <c r="B83" s="155" t="s">
        <v>140</v>
      </c>
      <c r="C83" s="154" t="s">
        <v>241</v>
      </c>
      <c r="D83" s="153"/>
      <c r="E83" s="152">
        <v>14499.24</v>
      </c>
      <c r="F83" s="151">
        <v>9901.9305000000004</v>
      </c>
      <c r="G83" s="151">
        <v>208431.45970000001</v>
      </c>
      <c r="H83" s="151"/>
      <c r="I83" s="151"/>
      <c r="J83" s="151"/>
      <c r="K83" s="151">
        <v>37917.039400000001</v>
      </c>
      <c r="L83" s="151"/>
      <c r="M83" s="151"/>
      <c r="N83" s="151">
        <v>52151.344000000005</v>
      </c>
      <c r="O83" s="151">
        <v>3605.8794000000003</v>
      </c>
      <c r="P83" s="151">
        <v>767625.12400000007</v>
      </c>
      <c r="Q83" s="151"/>
      <c r="R83" s="151"/>
      <c r="S83" s="151">
        <v>1332.2597000000001</v>
      </c>
      <c r="T83" s="151">
        <v>626636.03539999994</v>
      </c>
      <c r="U83" s="130">
        <f t="shared" si="8"/>
        <v>1722100.3121</v>
      </c>
      <c r="V83" s="90">
        <f t="shared" si="9"/>
        <v>66.952216090347406</v>
      </c>
    </row>
    <row r="84" spans="1:22" x14ac:dyDescent="0.35">
      <c r="A84" s="156" t="s">
        <v>240</v>
      </c>
      <c r="B84" s="155" t="s">
        <v>141</v>
      </c>
      <c r="C84" s="154" t="s">
        <v>241</v>
      </c>
      <c r="D84" s="153"/>
      <c r="E84" s="152">
        <v>153874.76300000001</v>
      </c>
      <c r="F84" s="151">
        <v>176585.36</v>
      </c>
      <c r="G84" s="151"/>
      <c r="H84" s="151">
        <v>461266.4</v>
      </c>
      <c r="I84" s="151">
        <v>305942</v>
      </c>
      <c r="J84" s="151"/>
      <c r="K84" s="151">
        <v>83947.5</v>
      </c>
      <c r="L84" s="151">
        <v>615532.34400000004</v>
      </c>
      <c r="M84" s="151"/>
      <c r="N84" s="151"/>
      <c r="O84" s="151"/>
      <c r="P84" s="151">
        <v>197857.8</v>
      </c>
      <c r="Q84" s="151"/>
      <c r="R84" s="151"/>
      <c r="S84" s="151"/>
      <c r="T84" s="151">
        <v>308351.652</v>
      </c>
      <c r="U84" s="130">
        <f t="shared" si="8"/>
        <v>2303357.8190000001</v>
      </c>
      <c r="V84" s="90">
        <f t="shared" si="9"/>
        <v>288.0137638689032</v>
      </c>
    </row>
    <row r="85" spans="1:22" x14ac:dyDescent="0.35">
      <c r="A85" s="156" t="s">
        <v>240</v>
      </c>
      <c r="B85" s="155" t="s">
        <v>142</v>
      </c>
      <c r="C85" s="154" t="s">
        <v>241</v>
      </c>
      <c r="D85" s="153"/>
      <c r="E85" s="152">
        <v>5685.183</v>
      </c>
      <c r="F85" s="151"/>
      <c r="G85" s="151"/>
      <c r="H85" s="151">
        <v>2739.5918000000006</v>
      </c>
      <c r="I85" s="151"/>
      <c r="J85" s="151">
        <v>4625.3936000000003</v>
      </c>
      <c r="K85" s="151">
        <v>2315.3806</v>
      </c>
      <c r="L85" s="151">
        <v>3846.087</v>
      </c>
      <c r="M85" s="151"/>
      <c r="N85" s="151">
        <v>1104.9763999999998</v>
      </c>
      <c r="O85" s="151">
        <v>2105.5790000000002</v>
      </c>
      <c r="P85" s="151">
        <v>6036.0834999999997</v>
      </c>
      <c r="Q85" s="151">
        <v>3702.9888000000001</v>
      </c>
      <c r="R85" s="151"/>
      <c r="S85" s="151"/>
      <c r="T85" s="151">
        <v>2739.5918000000006</v>
      </c>
      <c r="U85" s="130">
        <f t="shared" si="8"/>
        <v>34900.855500000005</v>
      </c>
      <c r="V85" s="90">
        <f t="shared" si="9"/>
        <v>3.206827267132712</v>
      </c>
    </row>
    <row r="86" spans="1:22" x14ac:dyDescent="0.35">
      <c r="A86" s="156" t="s">
        <v>240</v>
      </c>
      <c r="B86" s="155" t="s">
        <v>143</v>
      </c>
      <c r="C86" s="154" t="s">
        <v>241</v>
      </c>
      <c r="D86" s="153"/>
      <c r="E86" s="152">
        <v>51743.172599999991</v>
      </c>
      <c r="F86" s="151"/>
      <c r="G86" s="151"/>
      <c r="H86" s="151"/>
      <c r="I86" s="151"/>
      <c r="J86" s="151"/>
      <c r="K86" s="151"/>
      <c r="L86" s="151"/>
      <c r="M86" s="151"/>
      <c r="N86" s="151">
        <v>971.20799999999997</v>
      </c>
      <c r="O86" s="151"/>
      <c r="P86" s="151"/>
      <c r="Q86" s="151"/>
      <c r="R86" s="151">
        <v>960.87599999999998</v>
      </c>
      <c r="S86" s="151">
        <v>300.35120000000001</v>
      </c>
      <c r="T86" s="151">
        <v>1807.0925999999999</v>
      </c>
      <c r="U86" s="130">
        <f t="shared" si="8"/>
        <v>55782.700399999987</v>
      </c>
      <c r="V86" s="90">
        <f t="shared" si="9"/>
        <v>18.359909007982623</v>
      </c>
    </row>
    <row r="87" spans="1:22" x14ac:dyDescent="0.35">
      <c r="A87" s="156" t="s">
        <v>240</v>
      </c>
      <c r="B87" s="155" t="s">
        <v>144</v>
      </c>
      <c r="C87" s="154" t="s">
        <v>241</v>
      </c>
      <c r="D87" s="153"/>
      <c r="E87" s="152">
        <v>1239.751</v>
      </c>
      <c r="F87" s="151"/>
      <c r="G87" s="151"/>
      <c r="H87" s="151">
        <v>1027.8661999999999</v>
      </c>
      <c r="I87" s="151">
        <v>513.93309999999997</v>
      </c>
      <c r="J87" s="151">
        <v>8926.2072000000007</v>
      </c>
      <c r="K87" s="151">
        <v>1009.8335</v>
      </c>
      <c r="L87" s="151">
        <v>6131.1322000000009</v>
      </c>
      <c r="M87" s="151"/>
      <c r="N87" s="151"/>
      <c r="O87" s="151">
        <v>14082.240799999998</v>
      </c>
      <c r="P87" s="151">
        <v>1541.7992999999999</v>
      </c>
      <c r="Q87" s="151">
        <v>495.90039999999999</v>
      </c>
      <c r="R87" s="151"/>
      <c r="S87" s="151"/>
      <c r="T87" s="151">
        <v>1027.8661999999999</v>
      </c>
      <c r="U87" s="130">
        <f t="shared" si="8"/>
        <v>35996.529899999994</v>
      </c>
      <c r="V87" s="90">
        <f t="shared" si="9"/>
        <v>58.611187837657397</v>
      </c>
    </row>
    <row r="88" spans="1:22" x14ac:dyDescent="0.35">
      <c r="A88" s="156" t="s">
        <v>240</v>
      </c>
      <c r="B88" s="155" t="s">
        <v>145</v>
      </c>
      <c r="C88" s="154" t="s">
        <v>241</v>
      </c>
      <c r="D88" s="153"/>
      <c r="E88" s="152">
        <v>6233675.5</v>
      </c>
      <c r="F88" s="151">
        <v>8765451</v>
      </c>
      <c r="G88" s="151">
        <v>8617266</v>
      </c>
      <c r="H88" s="151">
        <v>7494245.2000000002</v>
      </c>
      <c r="I88" s="151">
        <v>7536865.5</v>
      </c>
      <c r="J88" s="151">
        <v>6450005</v>
      </c>
      <c r="K88" s="151">
        <v>7639144.2000000002</v>
      </c>
      <c r="L88" s="151">
        <v>7145597.3000000007</v>
      </c>
      <c r="M88" s="151">
        <v>3666394</v>
      </c>
      <c r="N88" s="151">
        <v>4904028</v>
      </c>
      <c r="O88" s="151">
        <v>3678527</v>
      </c>
      <c r="P88" s="151">
        <v>7146679.4000000004</v>
      </c>
      <c r="Q88" s="151">
        <v>9872056</v>
      </c>
      <c r="R88" s="151">
        <v>5993076</v>
      </c>
      <c r="S88" s="151">
        <v>3044242.1</v>
      </c>
      <c r="T88" s="151">
        <v>4285044.9000000004</v>
      </c>
      <c r="U88" s="130">
        <f t="shared" si="8"/>
        <v>102472297.10000001</v>
      </c>
      <c r="V88" s="90">
        <f t="shared" si="9"/>
        <v>5630.6924986592594</v>
      </c>
    </row>
    <row r="89" spans="1:22" x14ac:dyDescent="0.35">
      <c r="A89" s="156" t="s">
        <v>240</v>
      </c>
      <c r="B89" s="155" t="s">
        <v>146</v>
      </c>
      <c r="C89" s="154" t="s">
        <v>241</v>
      </c>
      <c r="D89" s="153"/>
      <c r="E89" s="152">
        <v>2070.13</v>
      </c>
      <c r="F89" s="151">
        <v>0.04</v>
      </c>
      <c r="G89" s="151">
        <v>280.01</v>
      </c>
      <c r="H89" s="151">
        <v>300.02</v>
      </c>
      <c r="I89" s="151">
        <v>380.01</v>
      </c>
      <c r="J89" s="151">
        <v>590</v>
      </c>
      <c r="K89" s="151">
        <v>200.15999999999991</v>
      </c>
      <c r="L89" s="151">
        <v>530.14999999999986</v>
      </c>
      <c r="M89" s="151"/>
      <c r="N89" s="151">
        <v>130.05999999999995</v>
      </c>
      <c r="O89" s="151">
        <v>660</v>
      </c>
      <c r="P89" s="151">
        <v>670.18999999999983</v>
      </c>
      <c r="Q89" s="151">
        <v>400</v>
      </c>
      <c r="R89" s="151">
        <v>10</v>
      </c>
      <c r="S89" s="151">
        <v>10</v>
      </c>
      <c r="T89" s="151">
        <v>330.44</v>
      </c>
      <c r="U89" s="130">
        <f t="shared" si="8"/>
        <v>6561.2099999999991</v>
      </c>
      <c r="V89" s="90">
        <f t="shared" si="9"/>
        <v>0.11845539969266485</v>
      </c>
    </row>
    <row r="90" spans="1:22" x14ac:dyDescent="0.35">
      <c r="A90" s="156" t="s">
        <v>240</v>
      </c>
      <c r="B90" s="155" t="s">
        <v>147</v>
      </c>
      <c r="C90" s="154" t="s">
        <v>241</v>
      </c>
      <c r="D90" s="153"/>
      <c r="E90" s="152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30"/>
      <c r="V90" s="90">
        <f>U117/U63</f>
        <v>119470</v>
      </c>
    </row>
    <row r="91" spans="1:22" x14ac:dyDescent="0.35">
      <c r="A91" s="156" t="s">
        <v>240</v>
      </c>
      <c r="B91" s="155" t="s">
        <v>148</v>
      </c>
      <c r="C91" s="154" t="s">
        <v>241</v>
      </c>
      <c r="D91" s="153"/>
      <c r="E91" s="152">
        <v>853648.86200000008</v>
      </c>
      <c r="F91" s="151">
        <v>17281.349999999999</v>
      </c>
      <c r="G91" s="151">
        <v>864665.68319999997</v>
      </c>
      <c r="H91" s="151">
        <v>64240.877300000007</v>
      </c>
      <c r="I91" s="151">
        <v>17809.956000000002</v>
      </c>
      <c r="J91" s="151">
        <v>173575.23480000001</v>
      </c>
      <c r="K91" s="151">
        <v>21576.273799999999</v>
      </c>
      <c r="L91" s="151">
        <v>270808.92</v>
      </c>
      <c r="M91" s="151"/>
      <c r="N91" s="151"/>
      <c r="O91" s="151">
        <v>1621707.2016</v>
      </c>
      <c r="P91" s="151">
        <v>52408.800000000003</v>
      </c>
      <c r="Q91" s="151">
        <v>82729.377500000017</v>
      </c>
      <c r="R91" s="151">
        <v>487157.18119999993</v>
      </c>
      <c r="S91" s="151">
        <v>5821251.0408000024</v>
      </c>
      <c r="T91" s="151">
        <v>1108641.2605000001</v>
      </c>
      <c r="U91" s="130">
        <f t="shared" ref="U91:U103" si="10">SUM(E91:T91)</f>
        <v>11457502.018700004</v>
      </c>
      <c r="V91" s="90">
        <f t="shared" ref="V91:V103" si="11">U91/V38</f>
        <v>2163.6800117528928</v>
      </c>
    </row>
    <row r="92" spans="1:22" x14ac:dyDescent="0.35">
      <c r="A92" s="156" t="s">
        <v>240</v>
      </c>
      <c r="B92" s="155" t="s">
        <v>149</v>
      </c>
      <c r="C92" s="154" t="s">
        <v>241</v>
      </c>
      <c r="D92" s="153"/>
      <c r="E92" s="152"/>
      <c r="F92" s="151">
        <v>143737.60000000001</v>
      </c>
      <c r="G92" s="151"/>
      <c r="H92" s="151">
        <v>217929.60000000001</v>
      </c>
      <c r="I92" s="151"/>
      <c r="J92" s="151"/>
      <c r="K92" s="151"/>
      <c r="L92" s="151">
        <v>1065961.6000000001</v>
      </c>
      <c r="M92" s="151">
        <v>3317363.2</v>
      </c>
      <c r="N92" s="151"/>
      <c r="O92" s="151">
        <v>1005017.6000000001</v>
      </c>
      <c r="P92" s="151"/>
      <c r="Q92" s="151"/>
      <c r="R92" s="151">
        <v>209059.20000000001</v>
      </c>
      <c r="S92" s="151"/>
      <c r="T92" s="151"/>
      <c r="U92" s="130">
        <f t="shared" si="10"/>
        <v>5959068.7999999998</v>
      </c>
      <c r="V92" s="90">
        <f t="shared" si="11"/>
        <v>1600</v>
      </c>
    </row>
    <row r="93" spans="1:22" x14ac:dyDescent="0.35">
      <c r="A93" s="156" t="s">
        <v>240</v>
      </c>
      <c r="B93" s="155" t="s">
        <v>150</v>
      </c>
      <c r="C93" s="154" t="s">
        <v>241</v>
      </c>
      <c r="D93" s="153"/>
      <c r="E93" s="152"/>
      <c r="F93" s="151"/>
      <c r="G93" s="151"/>
      <c r="H93" s="151"/>
      <c r="I93" s="151"/>
      <c r="J93" s="151"/>
      <c r="K93" s="151"/>
      <c r="L93" s="151"/>
      <c r="M93" s="151"/>
      <c r="N93" s="151">
        <v>444307.5</v>
      </c>
      <c r="O93" s="151"/>
      <c r="P93" s="151"/>
      <c r="Q93" s="151"/>
      <c r="R93" s="151"/>
      <c r="S93" s="151"/>
      <c r="T93" s="151"/>
      <c r="U93" s="130">
        <f t="shared" si="10"/>
        <v>444307.5</v>
      </c>
      <c r="V93" s="90">
        <f t="shared" si="11"/>
        <v>350</v>
      </c>
    </row>
    <row r="94" spans="1:22" x14ac:dyDescent="0.35">
      <c r="A94" s="136" t="s">
        <v>239</v>
      </c>
      <c r="B94" s="135" t="s">
        <v>137</v>
      </c>
      <c r="C94" s="134" t="s">
        <v>241</v>
      </c>
      <c r="D94" s="133"/>
      <c r="E94" s="512"/>
      <c r="F94" s="513"/>
      <c r="G94" s="513"/>
      <c r="H94" s="513"/>
      <c r="I94" s="513"/>
      <c r="J94" s="513"/>
      <c r="K94" s="513"/>
      <c r="L94" s="513"/>
      <c r="M94" s="513"/>
      <c r="N94" s="513"/>
      <c r="O94" s="513"/>
      <c r="P94" s="513"/>
      <c r="Q94" s="513"/>
      <c r="R94" s="513"/>
      <c r="S94" s="513"/>
      <c r="T94" s="513"/>
      <c r="U94" s="130">
        <f t="shared" si="10"/>
        <v>0</v>
      </c>
      <c r="V94" s="90">
        <f t="shared" si="11"/>
        <v>0</v>
      </c>
    </row>
    <row r="95" spans="1:22" x14ac:dyDescent="0.35">
      <c r="A95" s="136" t="s">
        <v>239</v>
      </c>
      <c r="B95" s="135" t="s">
        <v>138</v>
      </c>
      <c r="C95" s="134" t="s">
        <v>241</v>
      </c>
      <c r="D95" s="133"/>
      <c r="E95" s="138">
        <v>739902.5</v>
      </c>
      <c r="F95" s="137">
        <v>2972233.4000000004</v>
      </c>
      <c r="G95" s="137"/>
      <c r="H95" s="137">
        <v>3272633.05</v>
      </c>
      <c r="I95" s="137">
        <v>1163456.7</v>
      </c>
      <c r="J95" s="137">
        <v>1171976.7</v>
      </c>
      <c r="K95" s="137">
        <v>1379592.5</v>
      </c>
      <c r="L95" s="137">
        <v>635430</v>
      </c>
      <c r="M95" s="137">
        <v>1224469.8</v>
      </c>
      <c r="N95" s="137">
        <v>2251478.25</v>
      </c>
      <c r="O95" s="137">
        <v>639690</v>
      </c>
      <c r="P95" s="137">
        <v>3054662.3</v>
      </c>
      <c r="Q95" s="137">
        <v>639690</v>
      </c>
      <c r="R95" s="137">
        <v>950292.5</v>
      </c>
      <c r="S95" s="137">
        <v>1472730</v>
      </c>
      <c r="T95" s="137">
        <v>3919565.7</v>
      </c>
      <c r="U95" s="130">
        <f t="shared" si="10"/>
        <v>25487803.399999999</v>
      </c>
      <c r="V95" s="90">
        <f t="shared" si="11"/>
        <v>33758.68</v>
      </c>
    </row>
    <row r="96" spans="1:22" x14ac:dyDescent="0.35">
      <c r="A96" s="136" t="s">
        <v>239</v>
      </c>
      <c r="B96" s="135" t="s">
        <v>140</v>
      </c>
      <c r="C96" s="134" t="s">
        <v>241</v>
      </c>
      <c r="D96" s="133"/>
      <c r="E96" s="138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>
        <v>151153.18220000001</v>
      </c>
      <c r="Q96" s="137"/>
      <c r="R96" s="137">
        <v>619864.18569999991</v>
      </c>
      <c r="S96" s="137"/>
      <c r="T96" s="137">
        <v>1165604.58</v>
      </c>
      <c r="U96" s="130">
        <f t="shared" si="10"/>
        <v>1936621.9479</v>
      </c>
      <c r="V96" s="90">
        <f t="shared" si="11"/>
        <v>177.21339945601611</v>
      </c>
    </row>
    <row r="97" spans="1:22" x14ac:dyDescent="0.35">
      <c r="A97" s="136" t="s">
        <v>239</v>
      </c>
      <c r="B97" s="135" t="s">
        <v>141</v>
      </c>
      <c r="C97" s="134" t="s">
        <v>241</v>
      </c>
      <c r="D97" s="133"/>
      <c r="E97" s="138">
        <v>7885075.5110000018</v>
      </c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0">
        <f t="shared" si="10"/>
        <v>7885075.5110000018</v>
      </c>
      <c r="V97" s="90">
        <f t="shared" si="11"/>
        <v>303.15219636987786</v>
      </c>
    </row>
    <row r="98" spans="1:22" x14ac:dyDescent="0.35">
      <c r="A98" s="136" t="s">
        <v>239</v>
      </c>
      <c r="B98" s="135" t="s">
        <v>142</v>
      </c>
      <c r="C98" s="134" t="s">
        <v>241</v>
      </c>
      <c r="D98" s="133"/>
      <c r="E98" s="138">
        <v>70464.239999999991</v>
      </c>
      <c r="F98" s="137"/>
      <c r="G98" s="137"/>
      <c r="H98" s="137"/>
      <c r="I98" s="137">
        <v>8816.64</v>
      </c>
      <c r="J98" s="137">
        <v>340990.44000000024</v>
      </c>
      <c r="K98" s="137">
        <v>45633</v>
      </c>
      <c r="L98" s="137">
        <v>722909.03159999999</v>
      </c>
      <c r="M98" s="137"/>
      <c r="N98" s="137">
        <v>84309.119999999995</v>
      </c>
      <c r="O98" s="137">
        <v>91575.96</v>
      </c>
      <c r="P98" s="137">
        <v>729805.98599999899</v>
      </c>
      <c r="Q98" s="137">
        <v>53933.04</v>
      </c>
      <c r="R98" s="137"/>
      <c r="S98" s="137"/>
      <c r="T98" s="137"/>
      <c r="U98" s="130">
        <f t="shared" si="10"/>
        <v>2148437.4575999994</v>
      </c>
      <c r="V98" s="90">
        <f t="shared" si="11"/>
        <v>59.353363987468661</v>
      </c>
    </row>
    <row r="99" spans="1:22" x14ac:dyDescent="0.35">
      <c r="A99" s="136" t="s">
        <v>239</v>
      </c>
      <c r="B99" s="135" t="s">
        <v>143</v>
      </c>
      <c r="C99" s="134" t="s">
        <v>241</v>
      </c>
      <c r="D99" s="133"/>
      <c r="E99" s="138">
        <v>361103.4</v>
      </c>
      <c r="F99" s="137">
        <v>47182.8</v>
      </c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>
        <v>23591.4</v>
      </c>
      <c r="U99" s="130">
        <f t="shared" si="10"/>
        <v>431877.60000000003</v>
      </c>
      <c r="V99" s="90">
        <f t="shared" si="11"/>
        <v>287</v>
      </c>
    </row>
    <row r="100" spans="1:22" x14ac:dyDescent="0.35">
      <c r="A100" s="136" t="s">
        <v>239</v>
      </c>
      <c r="B100" s="135" t="s">
        <v>145</v>
      </c>
      <c r="C100" s="134" t="s">
        <v>241</v>
      </c>
      <c r="D100" s="133"/>
      <c r="E100" s="138">
        <v>2225643</v>
      </c>
      <c r="F100" s="137">
        <v>1614686</v>
      </c>
      <c r="G100" s="137">
        <v>4718703</v>
      </c>
      <c r="H100" s="137">
        <v>1526721</v>
      </c>
      <c r="I100" s="137">
        <v>3623877</v>
      </c>
      <c r="J100" s="137">
        <v>3269732</v>
      </c>
      <c r="K100" s="137">
        <v>3316367</v>
      </c>
      <c r="L100" s="137">
        <v>2950500</v>
      </c>
      <c r="M100" s="137">
        <v>2559109</v>
      </c>
      <c r="N100" s="137">
        <v>1049206</v>
      </c>
      <c r="O100" s="137">
        <v>501885</v>
      </c>
      <c r="P100" s="137">
        <v>210146</v>
      </c>
      <c r="Q100" s="137">
        <v>3315376</v>
      </c>
      <c r="R100" s="137">
        <v>3430820</v>
      </c>
      <c r="S100" s="137">
        <v>1102386</v>
      </c>
      <c r="T100" s="137">
        <v>102725</v>
      </c>
      <c r="U100" s="130">
        <f t="shared" si="10"/>
        <v>35517882</v>
      </c>
      <c r="V100" s="90">
        <f t="shared" si="11"/>
        <v>6097.6998351874727</v>
      </c>
    </row>
    <row r="101" spans="1:22" x14ac:dyDescent="0.35">
      <c r="A101" s="136" t="s">
        <v>239</v>
      </c>
      <c r="B101" s="135" t="s">
        <v>148</v>
      </c>
      <c r="C101" s="134" t="s">
        <v>241</v>
      </c>
      <c r="D101" s="133"/>
      <c r="E101" s="138">
        <v>1264019.9249999996</v>
      </c>
      <c r="F101" s="137">
        <v>70029</v>
      </c>
      <c r="G101" s="137">
        <v>78503.967099999994</v>
      </c>
      <c r="H101" s="137"/>
      <c r="I101" s="137"/>
      <c r="J101" s="137"/>
      <c r="K101" s="137">
        <v>14818.239100000001</v>
      </c>
      <c r="L101" s="137">
        <v>362967.03879999998</v>
      </c>
      <c r="M101" s="137"/>
      <c r="N101" s="137">
        <v>47041.415999999997</v>
      </c>
      <c r="O101" s="137">
        <v>3414159.9224000047</v>
      </c>
      <c r="P101" s="137">
        <v>369875.10600000003</v>
      </c>
      <c r="Q101" s="137">
        <v>72558.2742</v>
      </c>
      <c r="R101" s="137">
        <v>287840.80409999995</v>
      </c>
      <c r="S101" s="137">
        <v>1538925.8799999973</v>
      </c>
      <c r="T101" s="137">
        <v>344001.31839999993</v>
      </c>
      <c r="U101" s="130">
        <f t="shared" si="10"/>
        <v>7864740.8911000015</v>
      </c>
      <c r="V101" s="90">
        <f t="shared" si="11"/>
        <v>2258.9997655618131</v>
      </c>
    </row>
    <row r="102" spans="1:22" x14ac:dyDescent="0.35">
      <c r="A102" s="136" t="s">
        <v>239</v>
      </c>
      <c r="B102" s="135" t="s">
        <v>149</v>
      </c>
      <c r="C102" s="134" t="s">
        <v>241</v>
      </c>
      <c r="D102" s="133"/>
      <c r="E102" s="138"/>
      <c r="F102" s="137"/>
      <c r="G102" s="137"/>
      <c r="H102" s="137"/>
      <c r="I102" s="137"/>
      <c r="J102" s="137"/>
      <c r="K102" s="137"/>
      <c r="L102" s="137"/>
      <c r="M102" s="137">
        <v>985833.60000000009</v>
      </c>
      <c r="N102" s="137"/>
      <c r="O102" s="137"/>
      <c r="P102" s="137"/>
      <c r="Q102" s="137"/>
      <c r="R102" s="137"/>
      <c r="S102" s="137"/>
      <c r="T102" s="137"/>
      <c r="U102" s="130">
        <f t="shared" si="10"/>
        <v>985833.60000000009</v>
      </c>
      <c r="V102" s="90">
        <f t="shared" si="11"/>
        <v>1600.0000000000002</v>
      </c>
    </row>
    <row r="103" spans="1:22" ht="15" thickBot="1" x14ac:dyDescent="0.4">
      <c r="A103" s="129" t="s">
        <v>239</v>
      </c>
      <c r="B103" s="128" t="s">
        <v>150</v>
      </c>
      <c r="C103" s="127" t="s">
        <v>241</v>
      </c>
      <c r="D103" s="126"/>
      <c r="E103" s="125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>
        <v>706755</v>
      </c>
      <c r="R103" s="124"/>
      <c r="S103" s="124">
        <v>681712.5</v>
      </c>
      <c r="T103" s="124">
        <v>395062.5</v>
      </c>
      <c r="U103" s="123">
        <f t="shared" si="10"/>
        <v>1783530</v>
      </c>
      <c r="V103" s="90">
        <f t="shared" si="11"/>
        <v>350</v>
      </c>
    </row>
    <row r="104" spans="1:22" x14ac:dyDescent="0.35">
      <c r="E104" s="474" t="s">
        <v>240</v>
      </c>
      <c r="F104" s="472">
        <f>SUM(F81:F93)</f>
        <v>9744127.2804999985</v>
      </c>
      <c r="G104" s="472">
        <f t="shared" ref="G104:T104" si="12">SUM(G81:G93)</f>
        <v>9901033.1528999992</v>
      </c>
      <c r="H104" s="472">
        <f t="shared" si="12"/>
        <v>9957861.6552999988</v>
      </c>
      <c r="I104" s="472">
        <f t="shared" si="12"/>
        <v>8913461.3991</v>
      </c>
      <c r="J104" s="472">
        <f t="shared" si="12"/>
        <v>8493361.6356000006</v>
      </c>
      <c r="K104" s="472">
        <f t="shared" si="12"/>
        <v>9791127.0873000007</v>
      </c>
      <c r="L104" s="472">
        <f t="shared" si="12"/>
        <v>9949967.5332000013</v>
      </c>
      <c r="M104" s="472">
        <f t="shared" si="12"/>
        <v>9857736.8000000007</v>
      </c>
      <c r="N104" s="472">
        <f t="shared" si="12"/>
        <v>7752749.3884000005</v>
      </c>
      <c r="O104" s="472">
        <f t="shared" si="12"/>
        <v>9955026.0007999986</v>
      </c>
      <c r="P104" s="472">
        <f t="shared" si="12"/>
        <v>9952718.5968000013</v>
      </c>
      <c r="Q104" s="472">
        <f t="shared" si="12"/>
        <v>9959384.2666999996</v>
      </c>
      <c r="R104" s="472">
        <f t="shared" si="12"/>
        <v>9829282.0571999978</v>
      </c>
      <c r="S104" s="472">
        <f t="shared" si="12"/>
        <v>9919085.7517000027</v>
      </c>
      <c r="T104" s="473">
        <f t="shared" si="12"/>
        <v>9389441.6385000013</v>
      </c>
      <c r="U104" s="62"/>
    </row>
    <row r="105" spans="1:22" ht="15" thickBot="1" x14ac:dyDescent="0.4">
      <c r="E105" s="475" t="s">
        <v>239</v>
      </c>
      <c r="F105" s="470">
        <f>SUM(F94:F103)</f>
        <v>4704131.2</v>
      </c>
      <c r="G105" s="470">
        <f t="shared" ref="G105:T105" si="13">SUM(G94:G103)</f>
        <v>4797206.9671</v>
      </c>
      <c r="H105" s="470">
        <f t="shared" si="13"/>
        <v>4799354.05</v>
      </c>
      <c r="I105" s="470">
        <f t="shared" si="13"/>
        <v>4796150.34</v>
      </c>
      <c r="J105" s="470">
        <f t="shared" si="13"/>
        <v>4782699.1400000006</v>
      </c>
      <c r="K105" s="470">
        <f t="shared" si="13"/>
        <v>4756410.7390999999</v>
      </c>
      <c r="L105" s="470">
        <f t="shared" si="13"/>
        <v>4671806.0704000005</v>
      </c>
      <c r="M105" s="470">
        <f t="shared" si="13"/>
        <v>4769412.4000000004</v>
      </c>
      <c r="N105" s="470">
        <f t="shared" si="13"/>
        <v>3432034.7860000003</v>
      </c>
      <c r="O105" s="470">
        <f t="shared" si="13"/>
        <v>4647310.8824000042</v>
      </c>
      <c r="P105" s="470">
        <f t="shared" si="13"/>
        <v>4515642.5741999988</v>
      </c>
      <c r="Q105" s="470">
        <f t="shared" si="13"/>
        <v>4788312.3141999999</v>
      </c>
      <c r="R105" s="470">
        <f t="shared" si="13"/>
        <v>5288817.4897999996</v>
      </c>
      <c r="S105" s="470">
        <f t="shared" si="13"/>
        <v>4795754.3799999971</v>
      </c>
      <c r="T105" s="471">
        <f t="shared" si="13"/>
        <v>5950550.4984000009</v>
      </c>
    </row>
    <row r="106" spans="1:22" ht="15" thickBot="1" x14ac:dyDescent="0.4">
      <c r="A106" s="150" t="s">
        <v>244</v>
      </c>
    </row>
    <row r="107" spans="1:22" ht="15" thickBot="1" x14ac:dyDescent="0.4">
      <c r="A107" s="122" t="s">
        <v>1</v>
      </c>
      <c r="B107" s="121" t="s">
        <v>243</v>
      </c>
      <c r="C107" s="121" t="s">
        <v>3</v>
      </c>
      <c r="D107" s="121"/>
      <c r="E107" s="120">
        <v>2024</v>
      </c>
      <c r="F107" s="120">
        <v>2025</v>
      </c>
      <c r="G107" s="120">
        <v>2026</v>
      </c>
      <c r="H107" s="120">
        <v>2027</v>
      </c>
      <c r="I107" s="120">
        <v>2028</v>
      </c>
      <c r="J107" s="120">
        <v>2029</v>
      </c>
      <c r="K107" s="120">
        <v>2030</v>
      </c>
      <c r="L107" s="120">
        <v>2031</v>
      </c>
      <c r="M107" s="120">
        <v>2032</v>
      </c>
      <c r="N107" s="120">
        <v>2033</v>
      </c>
      <c r="O107" s="120">
        <v>2034</v>
      </c>
      <c r="P107" s="120">
        <v>2035</v>
      </c>
      <c r="Q107" s="120">
        <v>2036</v>
      </c>
      <c r="R107" s="120">
        <v>2037</v>
      </c>
      <c r="S107" s="120">
        <v>2038</v>
      </c>
      <c r="T107" s="120">
        <v>2039</v>
      </c>
      <c r="U107" s="119" t="s">
        <v>87</v>
      </c>
    </row>
    <row r="108" spans="1:22" x14ac:dyDescent="0.35">
      <c r="A108" s="149" t="s">
        <v>240</v>
      </c>
      <c r="B108" s="148" t="s">
        <v>137</v>
      </c>
      <c r="C108" s="147" t="s">
        <v>241</v>
      </c>
      <c r="D108" s="146"/>
      <c r="E108" s="510"/>
      <c r="F108" s="511"/>
      <c r="G108" s="511"/>
      <c r="H108" s="511"/>
      <c r="I108" s="511"/>
      <c r="J108" s="511"/>
      <c r="K108" s="511"/>
      <c r="L108" s="511"/>
      <c r="M108" s="511"/>
      <c r="N108" s="511"/>
      <c r="O108" s="511"/>
      <c r="P108" s="511"/>
      <c r="Q108" s="511"/>
      <c r="R108" s="511"/>
      <c r="S108" s="511"/>
      <c r="T108" s="511"/>
      <c r="U108" s="145">
        <f>SUM(E108:T108)</f>
        <v>0</v>
      </c>
    </row>
    <row r="109" spans="1:22" x14ac:dyDescent="0.35">
      <c r="A109" s="144" t="s">
        <v>240</v>
      </c>
      <c r="B109" s="143" t="s">
        <v>138</v>
      </c>
      <c r="C109" s="142" t="s">
        <v>241</v>
      </c>
      <c r="D109" s="141"/>
      <c r="E109" s="140">
        <v>8818554.3000000007</v>
      </c>
      <c r="F109" s="139">
        <v>2659329.5999999996</v>
      </c>
      <c r="G109" s="139"/>
      <c r="H109" s="139">
        <v>9976455.7749999985</v>
      </c>
      <c r="I109" s="139">
        <v>7443843.8249999993</v>
      </c>
      <c r="J109" s="139">
        <v>1342440.825</v>
      </c>
      <c r="K109" s="139">
        <v>529512.5</v>
      </c>
      <c r="L109" s="139">
        <v>4236100</v>
      </c>
      <c r="M109" s="139">
        <v>3292085.8249999997</v>
      </c>
      <c r="N109" s="139">
        <v>6783055.125</v>
      </c>
      <c r="O109" s="139">
        <v>4818563.75</v>
      </c>
      <c r="P109" s="139">
        <v>9985190.75</v>
      </c>
      <c r="Q109" s="139">
        <v>1262340</v>
      </c>
      <c r="R109" s="139">
        <v>8242171.2249999996</v>
      </c>
      <c r="S109" s="139">
        <v>25735571.77500001</v>
      </c>
      <c r="T109" s="139">
        <v>5506252.4000000004</v>
      </c>
      <c r="U109" s="130">
        <f>SUM(E109:T109)</f>
        <v>100631467.67500001</v>
      </c>
    </row>
    <row r="110" spans="1:22" x14ac:dyDescent="0.35">
      <c r="A110" s="144" t="s">
        <v>240</v>
      </c>
      <c r="B110" s="143" t="s">
        <v>140</v>
      </c>
      <c r="C110" s="142" t="s">
        <v>241</v>
      </c>
      <c r="D110" s="141"/>
      <c r="E110" s="140"/>
      <c r="F110" s="139"/>
      <c r="G110" s="139"/>
      <c r="H110" s="139">
        <v>8303813.1522999983</v>
      </c>
      <c r="I110" s="139">
        <v>33242.160000000003</v>
      </c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>
        <v>482426.16230000014</v>
      </c>
      <c r="U110" s="130">
        <f>SUM(E110:T110)</f>
        <v>8819481.4745999984</v>
      </c>
    </row>
    <row r="111" spans="1:22" x14ac:dyDescent="0.35">
      <c r="A111" s="144" t="s">
        <v>240</v>
      </c>
      <c r="B111" s="143" t="s">
        <v>141</v>
      </c>
      <c r="C111" s="142" t="s">
        <v>241</v>
      </c>
      <c r="D111" s="141"/>
      <c r="E111" s="140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0"/>
    </row>
    <row r="112" spans="1:22" x14ac:dyDescent="0.35">
      <c r="A112" s="144" t="s">
        <v>240</v>
      </c>
      <c r="B112" s="143" t="s">
        <v>142</v>
      </c>
      <c r="C112" s="142" t="s">
        <v>241</v>
      </c>
      <c r="D112" s="141"/>
      <c r="E112" s="140"/>
      <c r="F112" s="139">
        <v>5480.4805999999999</v>
      </c>
      <c r="G112" s="139"/>
      <c r="H112" s="139">
        <v>21229.549000000003</v>
      </c>
      <c r="I112" s="139">
        <v>5923.1418999999996</v>
      </c>
      <c r="J112" s="139">
        <v>306.08550000000002</v>
      </c>
      <c r="K112" s="139">
        <v>58.1175</v>
      </c>
      <c r="L112" s="139"/>
      <c r="M112" s="139"/>
      <c r="N112" s="139">
        <v>4785.0078000000003</v>
      </c>
      <c r="O112" s="139">
        <v>1398.6945000000001</v>
      </c>
      <c r="P112" s="139"/>
      <c r="Q112" s="139">
        <v>1356.0751</v>
      </c>
      <c r="R112" s="139"/>
      <c r="S112" s="139"/>
      <c r="T112" s="139">
        <v>99082.285000000003</v>
      </c>
      <c r="U112" s="130">
        <f t="shared" ref="U112:U128" si="14">SUM(E112:T112)</f>
        <v>139619.4369</v>
      </c>
    </row>
    <row r="113" spans="1:21" x14ac:dyDescent="0.35">
      <c r="A113" s="144" t="s">
        <v>240</v>
      </c>
      <c r="B113" s="143" t="s">
        <v>143</v>
      </c>
      <c r="C113" s="142" t="s">
        <v>241</v>
      </c>
      <c r="D113" s="141"/>
      <c r="E113" s="140">
        <v>9171.3547999999992</v>
      </c>
      <c r="F113" s="139"/>
      <c r="G113" s="139"/>
      <c r="H113" s="139"/>
      <c r="I113" s="139"/>
      <c r="J113" s="139"/>
      <c r="K113" s="139"/>
      <c r="L113" s="139">
        <v>914.38199999999995</v>
      </c>
      <c r="M113" s="139"/>
      <c r="N113" s="139">
        <v>595.22649999999999</v>
      </c>
      <c r="O113" s="139"/>
      <c r="P113" s="139"/>
      <c r="Q113" s="139"/>
      <c r="R113" s="139"/>
      <c r="S113" s="139"/>
      <c r="T113" s="139">
        <v>22799.805499999995</v>
      </c>
      <c r="U113" s="130">
        <f t="shared" si="14"/>
        <v>33480.768799999991</v>
      </c>
    </row>
    <row r="114" spans="1:21" x14ac:dyDescent="0.35">
      <c r="A114" s="144" t="s">
        <v>240</v>
      </c>
      <c r="B114" s="143" t="s">
        <v>144</v>
      </c>
      <c r="C114" s="142" t="s">
        <v>241</v>
      </c>
      <c r="D114" s="141"/>
      <c r="E114" s="140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>
        <v>1859.6265000000001</v>
      </c>
      <c r="S114" s="139"/>
      <c r="T114" s="139">
        <v>28469.190799999993</v>
      </c>
      <c r="U114" s="130">
        <f t="shared" si="14"/>
        <v>30328.817299999992</v>
      </c>
    </row>
    <row r="115" spans="1:21" x14ac:dyDescent="0.35">
      <c r="A115" s="144" t="s">
        <v>240</v>
      </c>
      <c r="B115" s="143" t="s">
        <v>145</v>
      </c>
      <c r="C115" s="142" t="s">
        <v>241</v>
      </c>
      <c r="D115" s="141"/>
      <c r="E115" s="140">
        <v>22285134.959999997</v>
      </c>
      <c r="F115" s="139">
        <v>6607198</v>
      </c>
      <c r="G115" s="139">
        <v>6631816</v>
      </c>
      <c r="H115" s="139">
        <v>4008404.5</v>
      </c>
      <c r="I115" s="139">
        <v>6111014</v>
      </c>
      <c r="J115" s="139">
        <v>3676511.5</v>
      </c>
      <c r="K115" s="139">
        <v>732807</v>
      </c>
      <c r="L115" s="139">
        <v>8374788</v>
      </c>
      <c r="M115" s="139">
        <v>12273604</v>
      </c>
      <c r="N115" s="139">
        <v>2353732</v>
      </c>
      <c r="O115" s="139">
        <v>2360914</v>
      </c>
      <c r="P115" s="139">
        <v>9206749.8999999985</v>
      </c>
      <c r="Q115" s="139">
        <v>3549897.9</v>
      </c>
      <c r="R115" s="139">
        <v>6370623</v>
      </c>
      <c r="S115" s="139">
        <v>1620599</v>
      </c>
      <c r="T115" s="139">
        <v>7491984</v>
      </c>
      <c r="U115" s="130">
        <f t="shared" si="14"/>
        <v>103655777.75999999</v>
      </c>
    </row>
    <row r="116" spans="1:21" x14ac:dyDescent="0.35">
      <c r="A116" s="144" t="s">
        <v>240</v>
      </c>
      <c r="B116" s="143" t="s">
        <v>146</v>
      </c>
      <c r="C116" s="142" t="s">
        <v>241</v>
      </c>
      <c r="D116" s="141"/>
      <c r="E116" s="140">
        <v>190</v>
      </c>
      <c r="F116" s="139">
        <v>170</v>
      </c>
      <c r="G116" s="139"/>
      <c r="H116" s="139">
        <v>670.71999999999935</v>
      </c>
      <c r="I116" s="139">
        <v>180.02</v>
      </c>
      <c r="J116" s="139">
        <v>10</v>
      </c>
      <c r="K116" s="139">
        <v>10</v>
      </c>
      <c r="L116" s="139">
        <v>10</v>
      </c>
      <c r="M116" s="139"/>
      <c r="N116" s="139">
        <v>140</v>
      </c>
      <c r="O116" s="139">
        <v>50</v>
      </c>
      <c r="P116" s="139"/>
      <c r="Q116" s="139">
        <v>40</v>
      </c>
      <c r="R116" s="139"/>
      <c r="S116" s="139"/>
      <c r="T116" s="139">
        <v>5411.4500000000253</v>
      </c>
      <c r="U116" s="130">
        <f t="shared" si="14"/>
        <v>6882.1900000000242</v>
      </c>
    </row>
    <row r="117" spans="1:21" x14ac:dyDescent="0.35">
      <c r="A117" s="144" t="s">
        <v>240</v>
      </c>
      <c r="B117" s="143" t="s">
        <v>147</v>
      </c>
      <c r="C117" s="142" t="s">
        <v>241</v>
      </c>
      <c r="D117" s="141"/>
      <c r="E117" s="140">
        <v>9378395</v>
      </c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>
        <v>1015495</v>
      </c>
      <c r="Q117" s="139"/>
      <c r="R117" s="139"/>
      <c r="S117" s="139"/>
      <c r="T117" s="139"/>
      <c r="U117" s="130">
        <f t="shared" si="14"/>
        <v>10393890</v>
      </c>
    </row>
    <row r="118" spans="1:21" x14ac:dyDescent="0.35">
      <c r="A118" s="144" t="s">
        <v>240</v>
      </c>
      <c r="B118" s="143" t="s">
        <v>148</v>
      </c>
      <c r="C118" s="142" t="s">
        <v>241</v>
      </c>
      <c r="D118" s="141"/>
      <c r="E118" s="140">
        <v>2502703.7438000003</v>
      </c>
      <c r="F118" s="139">
        <v>23675.449499999999</v>
      </c>
      <c r="G118" s="139"/>
      <c r="H118" s="139">
        <v>62137.635299999994</v>
      </c>
      <c r="I118" s="139">
        <v>1181922.4966000002</v>
      </c>
      <c r="J118" s="139">
        <v>30989.5268</v>
      </c>
      <c r="K118" s="139"/>
      <c r="L118" s="139">
        <v>383940.76950000011</v>
      </c>
      <c r="M118" s="139">
        <v>37002.42</v>
      </c>
      <c r="N118" s="139">
        <v>298671.58980000002</v>
      </c>
      <c r="O118" s="139">
        <v>10079218.025100002</v>
      </c>
      <c r="P118" s="139">
        <v>16549.434000000001</v>
      </c>
      <c r="Q118" s="139">
        <v>73837.782000000007</v>
      </c>
      <c r="R118" s="139">
        <v>3159952.6369999992</v>
      </c>
      <c r="S118" s="139">
        <v>2993008.2457999988</v>
      </c>
      <c r="T118" s="139">
        <v>2324478.4089000006</v>
      </c>
      <c r="U118" s="130">
        <f t="shared" si="14"/>
        <v>23168088.164100002</v>
      </c>
    </row>
    <row r="119" spans="1:21" x14ac:dyDescent="0.35">
      <c r="A119" s="144" t="s">
        <v>240</v>
      </c>
      <c r="B119" s="143" t="s">
        <v>149</v>
      </c>
      <c r="C119" s="142" t="s">
        <v>241</v>
      </c>
      <c r="D119" s="141"/>
      <c r="E119" s="140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>
        <v>90272</v>
      </c>
      <c r="U119" s="130">
        <f t="shared" si="14"/>
        <v>90272</v>
      </c>
    </row>
    <row r="120" spans="1:21" x14ac:dyDescent="0.35">
      <c r="A120" s="144" t="s">
        <v>240</v>
      </c>
      <c r="B120" s="143" t="s">
        <v>150</v>
      </c>
      <c r="C120" s="142" t="s">
        <v>241</v>
      </c>
      <c r="D120" s="141"/>
      <c r="E120" s="140">
        <v>6768594.0999999996</v>
      </c>
      <c r="F120" s="139"/>
      <c r="G120" s="139">
        <v>1167072.5</v>
      </c>
      <c r="H120" s="139"/>
      <c r="I120" s="139"/>
      <c r="J120" s="139"/>
      <c r="K120" s="139"/>
      <c r="L120" s="139">
        <v>809063.64</v>
      </c>
      <c r="M120" s="139">
        <v>3467891.75</v>
      </c>
      <c r="N120" s="139">
        <v>33968941.99000001</v>
      </c>
      <c r="O120" s="139"/>
      <c r="P120" s="139"/>
      <c r="Q120" s="139">
        <v>6743329.2599999998</v>
      </c>
      <c r="R120" s="139"/>
      <c r="S120" s="139"/>
      <c r="T120" s="139"/>
      <c r="U120" s="130">
        <f t="shared" si="14"/>
        <v>52924893.24000001</v>
      </c>
    </row>
    <row r="121" spans="1:21" x14ac:dyDescent="0.35">
      <c r="A121" s="136" t="s">
        <v>239</v>
      </c>
      <c r="B121" s="135" t="s">
        <v>137</v>
      </c>
      <c r="C121" s="134" t="s">
        <v>241</v>
      </c>
      <c r="D121" s="133"/>
      <c r="E121" s="512"/>
      <c r="F121" s="513"/>
      <c r="G121" s="513"/>
      <c r="H121" s="513"/>
      <c r="I121" s="513"/>
      <c r="J121" s="513"/>
      <c r="K121" s="513"/>
      <c r="L121" s="513"/>
      <c r="M121" s="513"/>
      <c r="N121" s="513"/>
      <c r="O121" s="513"/>
      <c r="P121" s="513"/>
      <c r="Q121" s="513"/>
      <c r="R121" s="513"/>
      <c r="S121" s="513"/>
      <c r="T121" s="513"/>
      <c r="U121" s="130">
        <f t="shared" si="14"/>
        <v>0</v>
      </c>
    </row>
    <row r="122" spans="1:21" x14ac:dyDescent="0.35">
      <c r="A122" s="136" t="s">
        <v>239</v>
      </c>
      <c r="B122" s="135" t="s">
        <v>138</v>
      </c>
      <c r="C122" s="134" t="s">
        <v>241</v>
      </c>
      <c r="D122" s="133"/>
      <c r="E122" s="138">
        <v>9483226.6000000015</v>
      </c>
      <c r="F122" s="137"/>
      <c r="G122" s="137">
        <v>1059025</v>
      </c>
      <c r="H122" s="137">
        <v>1059025</v>
      </c>
      <c r="I122" s="137">
        <v>4018999.875</v>
      </c>
      <c r="J122" s="137">
        <v>529512.5</v>
      </c>
      <c r="K122" s="137"/>
      <c r="L122" s="137">
        <v>5120222.3</v>
      </c>
      <c r="M122" s="137">
        <v>2879211.7</v>
      </c>
      <c r="N122" s="137">
        <v>6746179.25</v>
      </c>
      <c r="O122" s="137"/>
      <c r="P122" s="137"/>
      <c r="Q122" s="137">
        <v>803689.8</v>
      </c>
      <c r="R122" s="137">
        <v>2328471.6</v>
      </c>
      <c r="S122" s="137">
        <v>420780</v>
      </c>
      <c r="T122" s="137"/>
      <c r="U122" s="130">
        <f t="shared" si="14"/>
        <v>34448343.625</v>
      </c>
    </row>
    <row r="123" spans="1:21" x14ac:dyDescent="0.35">
      <c r="A123" s="136" t="s">
        <v>239</v>
      </c>
      <c r="B123" s="135" t="s">
        <v>140</v>
      </c>
      <c r="C123" s="134" t="s">
        <v>241</v>
      </c>
      <c r="D123" s="133"/>
      <c r="E123" s="138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>
        <v>619864.18570000003</v>
      </c>
      <c r="S123" s="137"/>
      <c r="T123" s="137">
        <v>1165604.58</v>
      </c>
      <c r="U123" s="130">
        <f t="shared" si="14"/>
        <v>1785468.7657000001</v>
      </c>
    </row>
    <row r="124" spans="1:21" x14ac:dyDescent="0.35">
      <c r="A124" s="136" t="s">
        <v>239</v>
      </c>
      <c r="B124" s="135" t="s">
        <v>141</v>
      </c>
      <c r="C124" s="134" t="s">
        <v>241</v>
      </c>
      <c r="D124" s="133"/>
      <c r="E124" s="138">
        <v>7885075.5110000018</v>
      </c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0">
        <f t="shared" si="14"/>
        <v>7885075.5110000018</v>
      </c>
    </row>
    <row r="125" spans="1:21" x14ac:dyDescent="0.35">
      <c r="A125" s="136" t="s">
        <v>239</v>
      </c>
      <c r="B125" s="135" t="s">
        <v>142</v>
      </c>
      <c r="C125" s="134" t="s">
        <v>241</v>
      </c>
      <c r="D125" s="133"/>
      <c r="E125" s="138">
        <v>27552</v>
      </c>
      <c r="F125" s="137"/>
      <c r="G125" s="137"/>
      <c r="H125" s="137"/>
      <c r="I125" s="137"/>
      <c r="J125" s="137">
        <v>15325.8</v>
      </c>
      <c r="K125" s="137">
        <v>43394.399999999994</v>
      </c>
      <c r="L125" s="137">
        <v>26780.544000000002</v>
      </c>
      <c r="M125" s="137"/>
      <c r="N125" s="137"/>
      <c r="O125" s="137"/>
      <c r="P125" s="137"/>
      <c r="Q125" s="137">
        <v>33062.400000000001</v>
      </c>
      <c r="R125" s="137">
        <v>472172.4</v>
      </c>
      <c r="S125" s="137">
        <v>336435.75000000006</v>
      </c>
      <c r="T125" s="137"/>
      <c r="U125" s="130">
        <f t="shared" si="14"/>
        <v>954723.29399999999</v>
      </c>
    </row>
    <row r="126" spans="1:21" x14ac:dyDescent="0.35">
      <c r="A126" s="136" t="s">
        <v>239</v>
      </c>
      <c r="B126" s="135" t="s">
        <v>143</v>
      </c>
      <c r="C126" s="134" t="s">
        <v>241</v>
      </c>
      <c r="D126" s="133"/>
      <c r="E126" s="138">
        <v>408286.2</v>
      </c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0">
        <f t="shared" si="14"/>
        <v>408286.2</v>
      </c>
    </row>
    <row r="127" spans="1:21" x14ac:dyDescent="0.35">
      <c r="A127" s="136" t="s">
        <v>239</v>
      </c>
      <c r="B127" s="135" t="s">
        <v>145</v>
      </c>
      <c r="C127" s="134" t="s">
        <v>241</v>
      </c>
      <c r="D127" s="133"/>
      <c r="E127" s="138">
        <v>11433126.32</v>
      </c>
      <c r="F127" s="137">
        <v>3120516</v>
      </c>
      <c r="G127" s="137">
        <v>182603</v>
      </c>
      <c r="H127" s="137"/>
      <c r="I127" s="137">
        <v>224010</v>
      </c>
      <c r="J127" s="137">
        <v>2730552</v>
      </c>
      <c r="K127" s="137"/>
      <c r="L127" s="137">
        <v>4782378</v>
      </c>
      <c r="M127" s="137">
        <v>7094097.5</v>
      </c>
      <c r="N127" s="137"/>
      <c r="O127" s="137">
        <v>2725188.8</v>
      </c>
      <c r="P127" s="137">
        <v>5617590</v>
      </c>
      <c r="Q127" s="137">
        <v>2933826</v>
      </c>
      <c r="R127" s="137"/>
      <c r="S127" s="137"/>
      <c r="T127" s="137"/>
      <c r="U127" s="130">
        <f t="shared" si="14"/>
        <v>40843887.620000005</v>
      </c>
    </row>
    <row r="128" spans="1:21" x14ac:dyDescent="0.35">
      <c r="A128" s="136" t="s">
        <v>239</v>
      </c>
      <c r="B128" s="135" t="s">
        <v>148</v>
      </c>
      <c r="C128" s="134" t="s">
        <v>241</v>
      </c>
      <c r="D128" s="133"/>
      <c r="E128" s="138">
        <v>8691.5025000000005</v>
      </c>
      <c r="F128" s="137"/>
      <c r="G128" s="137">
        <v>9006.6329999999998</v>
      </c>
      <c r="H128" s="137"/>
      <c r="I128" s="137"/>
      <c r="J128" s="137"/>
      <c r="K128" s="137">
        <v>130215.90680000003</v>
      </c>
      <c r="L128" s="137">
        <v>68593.734100000001</v>
      </c>
      <c r="M128" s="137">
        <v>163819.87539999999</v>
      </c>
      <c r="N128" s="137">
        <v>42349.473000000005</v>
      </c>
      <c r="O128" s="137"/>
      <c r="P128" s="137"/>
      <c r="Q128" s="137">
        <v>83762.518500000006</v>
      </c>
      <c r="R128" s="137">
        <v>54991.852899999998</v>
      </c>
      <c r="S128" s="137">
        <v>7279455.2287000008</v>
      </c>
      <c r="T128" s="137">
        <v>1199189.9616999999</v>
      </c>
      <c r="U128" s="130">
        <f t="shared" si="14"/>
        <v>9040076.6865999997</v>
      </c>
    </row>
    <row r="129" spans="1:21" x14ac:dyDescent="0.35">
      <c r="A129" s="136" t="s">
        <v>239</v>
      </c>
      <c r="B129" s="135" t="s">
        <v>149</v>
      </c>
      <c r="C129" s="134" t="s">
        <v>241</v>
      </c>
      <c r="D129" s="133"/>
      <c r="E129" s="132"/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0">
        <f>SUM(E130:T130)</f>
        <v>27464306.920000002</v>
      </c>
    </row>
    <row r="130" spans="1:21" ht="15" thickBot="1" x14ac:dyDescent="0.4">
      <c r="A130" s="129" t="s">
        <v>239</v>
      </c>
      <c r="B130" s="128" t="s">
        <v>150</v>
      </c>
      <c r="C130" s="127" t="s">
        <v>241</v>
      </c>
      <c r="D130" s="126"/>
      <c r="E130" s="125">
        <v>1013376</v>
      </c>
      <c r="F130" s="124"/>
      <c r="G130" s="124"/>
      <c r="H130" s="124"/>
      <c r="I130" s="124"/>
      <c r="J130" s="124"/>
      <c r="K130" s="124"/>
      <c r="L130" s="124"/>
      <c r="M130" s="124">
        <v>724377.5</v>
      </c>
      <c r="N130" s="124">
        <v>12006257.170000002</v>
      </c>
      <c r="O130" s="124">
        <v>11842376.25</v>
      </c>
      <c r="P130" s="124"/>
      <c r="Q130" s="124">
        <v>1877920</v>
      </c>
      <c r="R130" s="124"/>
      <c r="S130" s="124"/>
      <c r="T130" s="124"/>
      <c r="U130" s="123">
        <f>SUM(E131:T131)</f>
        <v>0</v>
      </c>
    </row>
    <row r="133" spans="1:21" ht="15" thickBot="1" x14ac:dyDescent="0.4">
      <c r="E133" s="465" t="s">
        <v>198</v>
      </c>
      <c r="F133" t="s">
        <v>199</v>
      </c>
      <c r="G133" t="s">
        <v>200</v>
      </c>
      <c r="H133" t="s">
        <v>201</v>
      </c>
      <c r="I133" t="s">
        <v>202</v>
      </c>
      <c r="J133" t="s">
        <v>203</v>
      </c>
      <c r="K133" t="s">
        <v>204</v>
      </c>
      <c r="L133" t="s">
        <v>205</v>
      </c>
      <c r="M133" t="s">
        <v>206</v>
      </c>
      <c r="N133" t="s">
        <v>207</v>
      </c>
      <c r="O133" t="s">
        <v>208</v>
      </c>
      <c r="P133" t="s">
        <v>209</v>
      </c>
      <c r="Q133" t="s">
        <v>210</v>
      </c>
      <c r="R133" t="s">
        <v>211</v>
      </c>
      <c r="S133" t="s">
        <v>212</v>
      </c>
      <c r="T133" t="s">
        <v>213</v>
      </c>
    </row>
    <row r="134" spans="1:21" ht="15" thickBot="1" x14ac:dyDescent="0.4">
      <c r="A134" s="122" t="s">
        <v>1</v>
      </c>
      <c r="B134" s="121" t="s">
        <v>243</v>
      </c>
      <c r="C134" s="121" t="s">
        <v>3</v>
      </c>
      <c r="D134" s="121" t="s">
        <v>242</v>
      </c>
      <c r="E134" s="120">
        <v>2024</v>
      </c>
      <c r="F134" s="120">
        <v>2025</v>
      </c>
      <c r="G134" s="120">
        <v>2026</v>
      </c>
      <c r="H134" s="120">
        <v>2027</v>
      </c>
      <c r="I134" s="120">
        <v>2028</v>
      </c>
      <c r="J134" s="120">
        <v>2029</v>
      </c>
      <c r="K134" s="120">
        <v>2030</v>
      </c>
      <c r="L134" s="120">
        <v>2031</v>
      </c>
      <c r="M134" s="120">
        <v>2032</v>
      </c>
      <c r="N134" s="120">
        <v>2033</v>
      </c>
      <c r="O134" s="120">
        <v>2034</v>
      </c>
      <c r="P134" s="120">
        <v>2035</v>
      </c>
      <c r="Q134" s="120">
        <v>2036</v>
      </c>
      <c r="R134" s="120">
        <v>2037</v>
      </c>
      <c r="S134" s="120">
        <v>2038</v>
      </c>
      <c r="T134" s="120">
        <v>2039</v>
      </c>
      <c r="U134" s="119" t="s">
        <v>87</v>
      </c>
    </row>
    <row r="135" spans="1:21" x14ac:dyDescent="0.35">
      <c r="A135" s="118" t="s">
        <v>240</v>
      </c>
      <c r="B135" s="117" t="s">
        <v>137</v>
      </c>
      <c r="C135" s="116" t="s">
        <v>23</v>
      </c>
      <c r="D135" s="115"/>
      <c r="E135" s="462">
        <f>MAX(E81+(E108-E81)*$D135, E81)</f>
        <v>0</v>
      </c>
      <c r="F135" s="511">
        <f t="shared" ref="F135:T135" si="15">MAX(F81+(F108-F81)*$D135, F81)</f>
        <v>0</v>
      </c>
      <c r="G135" s="511">
        <f t="shared" si="15"/>
        <v>0</v>
      </c>
      <c r="H135" s="511">
        <f t="shared" si="15"/>
        <v>0</v>
      </c>
      <c r="I135" s="511">
        <f t="shared" si="15"/>
        <v>0</v>
      </c>
      <c r="J135" s="511">
        <f t="shared" si="15"/>
        <v>0</v>
      </c>
      <c r="K135" s="511">
        <f t="shared" si="15"/>
        <v>0</v>
      </c>
      <c r="L135" s="511">
        <f t="shared" si="15"/>
        <v>0</v>
      </c>
      <c r="M135" s="511">
        <f t="shared" si="15"/>
        <v>0</v>
      </c>
      <c r="N135" s="511">
        <f t="shared" si="15"/>
        <v>0</v>
      </c>
      <c r="O135" s="511">
        <f t="shared" si="15"/>
        <v>0</v>
      </c>
      <c r="P135" s="511">
        <f t="shared" si="15"/>
        <v>0</v>
      </c>
      <c r="Q135" s="511">
        <f t="shared" si="15"/>
        <v>0</v>
      </c>
      <c r="R135" s="511">
        <f t="shared" si="15"/>
        <v>0</v>
      </c>
      <c r="S135" s="511">
        <f t="shared" si="15"/>
        <v>0</v>
      </c>
      <c r="T135" s="514">
        <f t="shared" si="15"/>
        <v>0</v>
      </c>
      <c r="U135" s="114">
        <f>SUM(E135:T135)</f>
        <v>0</v>
      </c>
    </row>
    <row r="136" spans="1:21" x14ac:dyDescent="0.35">
      <c r="A136" s="113" t="s">
        <v>240</v>
      </c>
      <c r="B136" s="112" t="s">
        <v>138</v>
      </c>
      <c r="C136" s="111" t="s">
        <v>139</v>
      </c>
      <c r="D136" s="110">
        <v>0.3</v>
      </c>
      <c r="E136" s="463">
        <f>MAX(E82+(E109-E82)*$D136, E82)</f>
        <v>3390767.67</v>
      </c>
      <c r="F136" s="109">
        <f t="shared" ref="F136:T136" si="16">MAX(F82+(F109-F82)*$D136, F82)</f>
        <v>1239617.8799999999</v>
      </c>
      <c r="G136" s="109">
        <f t="shared" si="16"/>
        <v>210390</v>
      </c>
      <c r="H136" s="109">
        <f t="shared" si="16"/>
        <v>4194215.2024999997</v>
      </c>
      <c r="I136" s="109">
        <f t="shared" si="16"/>
        <v>2969518.1475</v>
      </c>
      <c r="J136" s="109">
        <f t="shared" si="16"/>
        <v>1855639.8</v>
      </c>
      <c r="K136" s="109">
        <f t="shared" si="16"/>
        <v>2005016.7</v>
      </c>
      <c r="L136" s="109">
        <f>MAX(L82+(L109-L82)*$D136, L82)</f>
        <v>1859922</v>
      </c>
      <c r="M136" s="109">
        <f t="shared" si="16"/>
        <v>2999411.4674999998</v>
      </c>
      <c r="N136" s="109">
        <f t="shared" si="16"/>
        <v>3679955.9474999998</v>
      </c>
      <c r="O136" s="109">
        <f t="shared" si="16"/>
        <v>3986093.4750000001</v>
      </c>
      <c r="P136" s="109">
        <f t="shared" si="16"/>
        <v>4241486.8049999997</v>
      </c>
      <c r="Q136" s="109">
        <f t="shared" si="16"/>
        <v>378702</v>
      </c>
      <c r="R136" s="109">
        <f t="shared" si="16"/>
        <v>4669964.5274999999</v>
      </c>
      <c r="S136" s="109">
        <f t="shared" si="16"/>
        <v>8457036.5325000025</v>
      </c>
      <c r="T136" s="108">
        <f t="shared" si="16"/>
        <v>3790279.6799999997</v>
      </c>
      <c r="U136" s="101">
        <f>SUM(E136:T136)</f>
        <v>49928017.835000001</v>
      </c>
    </row>
    <row r="137" spans="1:21" x14ac:dyDescent="0.35">
      <c r="A137" s="113" t="s">
        <v>240</v>
      </c>
      <c r="B137" s="112" t="s">
        <v>140</v>
      </c>
      <c r="C137" s="111" t="s">
        <v>22</v>
      </c>
      <c r="D137" s="110">
        <v>0.97</v>
      </c>
      <c r="E137" s="463">
        <f t="shared" ref="E137:T157" si="17">MAX(E83+(E110-E83)*$D137, E83)</f>
        <v>14499.24</v>
      </c>
      <c r="F137" s="109">
        <f t="shared" si="17"/>
        <v>9901.9305000000004</v>
      </c>
      <c r="G137" s="109">
        <f t="shared" si="17"/>
        <v>208431.45970000001</v>
      </c>
      <c r="H137" s="109">
        <f t="shared" si="17"/>
        <v>8054698.7577309981</v>
      </c>
      <c r="I137" s="109">
        <f t="shared" si="17"/>
        <v>32244.895200000003</v>
      </c>
      <c r="J137" s="109">
        <f t="shared" si="17"/>
        <v>0</v>
      </c>
      <c r="K137" s="109">
        <f t="shared" si="17"/>
        <v>37917.039400000001</v>
      </c>
      <c r="L137" s="109">
        <f t="shared" si="17"/>
        <v>0</v>
      </c>
      <c r="M137" s="109">
        <f t="shared" si="17"/>
        <v>0</v>
      </c>
      <c r="N137" s="109">
        <f t="shared" si="17"/>
        <v>52151.344000000005</v>
      </c>
      <c r="O137" s="109">
        <f t="shared" si="17"/>
        <v>3605.8794000000003</v>
      </c>
      <c r="P137" s="109">
        <f t="shared" si="17"/>
        <v>767625.12400000007</v>
      </c>
      <c r="Q137" s="109">
        <f t="shared" si="17"/>
        <v>0</v>
      </c>
      <c r="R137" s="109">
        <f t="shared" si="17"/>
        <v>0</v>
      </c>
      <c r="S137" s="109">
        <f t="shared" si="17"/>
        <v>1332.2597000000001</v>
      </c>
      <c r="T137" s="108">
        <f t="shared" si="17"/>
        <v>626636.03539999994</v>
      </c>
      <c r="U137" s="101">
        <f>SUM(E137:T137)</f>
        <v>9809043.965030998</v>
      </c>
    </row>
    <row r="138" spans="1:21" x14ac:dyDescent="0.35">
      <c r="A138" s="113" t="s">
        <v>240</v>
      </c>
      <c r="B138" s="112" t="s">
        <v>141</v>
      </c>
      <c r="C138" s="111" t="s">
        <v>241</v>
      </c>
      <c r="D138" s="110">
        <v>0.97</v>
      </c>
      <c r="E138" s="463">
        <f t="shared" si="17"/>
        <v>153874.76300000001</v>
      </c>
      <c r="F138" s="109">
        <f t="shared" si="17"/>
        <v>176585.36</v>
      </c>
      <c r="G138" s="109">
        <f t="shared" si="17"/>
        <v>0</v>
      </c>
      <c r="H138" s="109">
        <f t="shared" si="17"/>
        <v>461266.4</v>
      </c>
      <c r="I138" s="109">
        <f t="shared" si="17"/>
        <v>305942</v>
      </c>
      <c r="J138" s="109">
        <f t="shared" si="17"/>
        <v>0</v>
      </c>
      <c r="K138" s="109">
        <f t="shared" si="17"/>
        <v>83947.5</v>
      </c>
      <c r="L138" s="109">
        <f t="shared" si="17"/>
        <v>615532.34400000004</v>
      </c>
      <c r="M138" s="109">
        <f t="shared" si="17"/>
        <v>0</v>
      </c>
      <c r="N138" s="109">
        <f t="shared" si="17"/>
        <v>0</v>
      </c>
      <c r="O138" s="109">
        <f t="shared" si="17"/>
        <v>0</v>
      </c>
      <c r="P138" s="109">
        <f t="shared" si="17"/>
        <v>197857.8</v>
      </c>
      <c r="Q138" s="109">
        <f t="shared" si="17"/>
        <v>0</v>
      </c>
      <c r="R138" s="109">
        <f t="shared" si="17"/>
        <v>0</v>
      </c>
      <c r="S138" s="109">
        <f t="shared" si="17"/>
        <v>0</v>
      </c>
      <c r="T138" s="108">
        <f t="shared" si="17"/>
        <v>308351.652</v>
      </c>
      <c r="U138" s="101"/>
    </row>
    <row r="139" spans="1:21" x14ac:dyDescent="0.35">
      <c r="A139" s="113" t="s">
        <v>240</v>
      </c>
      <c r="B139" s="112" t="s">
        <v>142</v>
      </c>
      <c r="C139" s="111" t="s">
        <v>22</v>
      </c>
      <c r="D139" s="110">
        <v>0.97</v>
      </c>
      <c r="E139" s="463">
        <f t="shared" si="17"/>
        <v>5685.183</v>
      </c>
      <c r="F139" s="109">
        <f t="shared" si="17"/>
        <v>5316.0661819999996</v>
      </c>
      <c r="G139" s="109">
        <f t="shared" si="17"/>
        <v>0</v>
      </c>
      <c r="H139" s="109">
        <f t="shared" si="17"/>
        <v>20674.850284000004</v>
      </c>
      <c r="I139" s="109">
        <f t="shared" si="17"/>
        <v>5745.4476429999995</v>
      </c>
      <c r="J139" s="109">
        <f t="shared" si="17"/>
        <v>4625.3936000000003</v>
      </c>
      <c r="K139" s="109">
        <f t="shared" si="17"/>
        <v>2315.3806</v>
      </c>
      <c r="L139" s="109">
        <f t="shared" si="17"/>
        <v>3846.087</v>
      </c>
      <c r="M139" s="109">
        <f t="shared" si="17"/>
        <v>0</v>
      </c>
      <c r="N139" s="109">
        <f t="shared" si="17"/>
        <v>4674.6068580000001</v>
      </c>
      <c r="O139" s="109">
        <f t="shared" si="17"/>
        <v>2105.5790000000002</v>
      </c>
      <c r="P139" s="109">
        <f t="shared" si="17"/>
        <v>6036.0834999999997</v>
      </c>
      <c r="Q139" s="109">
        <f t="shared" si="17"/>
        <v>3702.9888000000001</v>
      </c>
      <c r="R139" s="109">
        <f t="shared" si="17"/>
        <v>0</v>
      </c>
      <c r="S139" s="109">
        <f t="shared" si="17"/>
        <v>0</v>
      </c>
      <c r="T139" s="108">
        <f t="shared" si="17"/>
        <v>96192.004203999997</v>
      </c>
      <c r="U139" s="101">
        <f>SUM(E139:T139)</f>
        <v>160919.670671</v>
      </c>
    </row>
    <row r="140" spans="1:21" x14ac:dyDescent="0.35">
      <c r="A140" s="113" t="s">
        <v>240</v>
      </c>
      <c r="B140" s="112" t="s">
        <v>143</v>
      </c>
      <c r="C140" s="111" t="s">
        <v>22</v>
      </c>
      <c r="D140" s="110">
        <v>0.97</v>
      </c>
      <c r="E140" s="463">
        <f t="shared" si="17"/>
        <v>51743.172599999991</v>
      </c>
      <c r="F140" s="109">
        <f>MAX(F86+(F113-F86)*$D140, F86)</f>
        <v>0</v>
      </c>
      <c r="G140" s="109">
        <f t="shared" si="17"/>
        <v>0</v>
      </c>
      <c r="H140" s="109">
        <f t="shared" si="17"/>
        <v>0</v>
      </c>
      <c r="I140" s="109">
        <f t="shared" si="17"/>
        <v>0</v>
      </c>
      <c r="J140" s="109">
        <f t="shared" si="17"/>
        <v>0</v>
      </c>
      <c r="K140" s="109">
        <f t="shared" si="17"/>
        <v>0</v>
      </c>
      <c r="L140" s="109">
        <f t="shared" si="17"/>
        <v>886.95053999999993</v>
      </c>
      <c r="M140" s="109">
        <f t="shared" si="17"/>
        <v>0</v>
      </c>
      <c r="N140" s="109">
        <f t="shared" si="17"/>
        <v>971.20799999999997</v>
      </c>
      <c r="O140" s="109">
        <f t="shared" si="17"/>
        <v>0</v>
      </c>
      <c r="P140" s="109">
        <f t="shared" si="17"/>
        <v>0</v>
      </c>
      <c r="Q140" s="109">
        <f t="shared" si="17"/>
        <v>0</v>
      </c>
      <c r="R140" s="109">
        <f t="shared" si="17"/>
        <v>960.87599999999998</v>
      </c>
      <c r="S140" s="109">
        <f t="shared" si="17"/>
        <v>300.35120000000001</v>
      </c>
      <c r="T140" s="108">
        <f t="shared" si="17"/>
        <v>22170.024112999996</v>
      </c>
      <c r="U140" s="101">
        <f>SUM(E140:T140)</f>
        <v>77032.582452999981</v>
      </c>
    </row>
    <row r="141" spans="1:21" x14ac:dyDescent="0.35">
      <c r="A141" s="113" t="s">
        <v>240</v>
      </c>
      <c r="B141" s="112" t="s">
        <v>144</v>
      </c>
      <c r="C141" s="111" t="s">
        <v>22</v>
      </c>
      <c r="D141" s="110">
        <v>0.97</v>
      </c>
      <c r="E141" s="463">
        <f t="shared" si="17"/>
        <v>1239.751</v>
      </c>
      <c r="F141" s="109">
        <f t="shared" si="17"/>
        <v>0</v>
      </c>
      <c r="G141" s="109">
        <f t="shared" si="17"/>
        <v>0</v>
      </c>
      <c r="H141" s="109">
        <f t="shared" si="17"/>
        <v>1027.8661999999999</v>
      </c>
      <c r="I141" s="109">
        <f t="shared" si="17"/>
        <v>513.93309999999997</v>
      </c>
      <c r="J141" s="109">
        <f t="shared" si="17"/>
        <v>8926.2072000000007</v>
      </c>
      <c r="K141" s="109">
        <f t="shared" si="17"/>
        <v>1009.8335</v>
      </c>
      <c r="L141" s="109">
        <f t="shared" si="17"/>
        <v>6131.1322000000009</v>
      </c>
      <c r="M141" s="109">
        <f t="shared" si="17"/>
        <v>0</v>
      </c>
      <c r="N141" s="109">
        <f t="shared" si="17"/>
        <v>0</v>
      </c>
      <c r="O141" s="109">
        <f t="shared" si="17"/>
        <v>14082.240799999998</v>
      </c>
      <c r="P141" s="109">
        <f t="shared" si="17"/>
        <v>1541.7992999999999</v>
      </c>
      <c r="Q141" s="109">
        <f t="shared" si="17"/>
        <v>495.90039999999999</v>
      </c>
      <c r="R141" s="109">
        <f t="shared" si="17"/>
        <v>1803.8377049999999</v>
      </c>
      <c r="S141" s="109">
        <f t="shared" si="17"/>
        <v>0</v>
      </c>
      <c r="T141" s="108">
        <f t="shared" si="17"/>
        <v>27645.951061999993</v>
      </c>
      <c r="U141" s="101">
        <f>SUM(E141:T141)</f>
        <v>64418.452466999988</v>
      </c>
    </row>
    <row r="142" spans="1:21" x14ac:dyDescent="0.35">
      <c r="A142" s="113" t="s">
        <v>240</v>
      </c>
      <c r="B142" s="112" t="s">
        <v>145</v>
      </c>
      <c r="C142" s="111" t="s">
        <v>22</v>
      </c>
      <c r="D142" s="110"/>
      <c r="E142" s="463">
        <f t="shared" si="17"/>
        <v>6233675.5</v>
      </c>
      <c r="F142" s="109">
        <f t="shared" si="17"/>
        <v>8765451</v>
      </c>
      <c r="G142" s="109">
        <f t="shared" si="17"/>
        <v>8617266</v>
      </c>
      <c r="H142" s="109">
        <f t="shared" si="17"/>
        <v>7494245.2000000002</v>
      </c>
      <c r="I142" s="109">
        <f t="shared" si="17"/>
        <v>7536865.5</v>
      </c>
      <c r="J142" s="109">
        <f t="shared" si="17"/>
        <v>6450005</v>
      </c>
      <c r="K142" s="109">
        <f t="shared" si="17"/>
        <v>7639144.2000000002</v>
      </c>
      <c r="L142" s="109">
        <f t="shared" si="17"/>
        <v>7145597.3000000007</v>
      </c>
      <c r="M142" s="109">
        <f t="shared" si="17"/>
        <v>3666394</v>
      </c>
      <c r="N142" s="109">
        <f t="shared" si="17"/>
        <v>4904028</v>
      </c>
      <c r="O142" s="109">
        <f t="shared" si="17"/>
        <v>3678527</v>
      </c>
      <c r="P142" s="109">
        <f t="shared" si="17"/>
        <v>7146679.4000000004</v>
      </c>
      <c r="Q142" s="109">
        <f t="shared" si="17"/>
        <v>9872056</v>
      </c>
      <c r="R142" s="109">
        <f t="shared" si="17"/>
        <v>5993076</v>
      </c>
      <c r="S142" s="109">
        <f t="shared" si="17"/>
        <v>3044242.1</v>
      </c>
      <c r="T142" s="108">
        <f t="shared" si="17"/>
        <v>4285044.9000000004</v>
      </c>
      <c r="U142" s="101">
        <f>SUM(E142:T142)</f>
        <v>102472297.10000001</v>
      </c>
    </row>
    <row r="143" spans="1:21" x14ac:dyDescent="0.35">
      <c r="A143" s="113" t="s">
        <v>240</v>
      </c>
      <c r="B143" s="112" t="s">
        <v>146</v>
      </c>
      <c r="C143" s="111" t="s">
        <v>23</v>
      </c>
      <c r="D143" s="110">
        <v>0.97</v>
      </c>
      <c r="E143" s="463">
        <f t="shared" si="17"/>
        <v>2070.13</v>
      </c>
      <c r="F143" s="109">
        <f t="shared" si="17"/>
        <v>164.90119999999999</v>
      </c>
      <c r="G143" s="109">
        <f t="shared" si="17"/>
        <v>280.01</v>
      </c>
      <c r="H143" s="109">
        <f t="shared" si="17"/>
        <v>659.59899999999936</v>
      </c>
      <c r="I143" s="109">
        <f t="shared" si="17"/>
        <v>380.01</v>
      </c>
      <c r="J143" s="109">
        <f t="shared" si="17"/>
        <v>590</v>
      </c>
      <c r="K143" s="109">
        <f t="shared" si="17"/>
        <v>200.15999999999991</v>
      </c>
      <c r="L143" s="109">
        <f t="shared" si="17"/>
        <v>530.14999999999986</v>
      </c>
      <c r="M143" s="109">
        <f t="shared" si="17"/>
        <v>0</v>
      </c>
      <c r="N143" s="109">
        <f t="shared" si="17"/>
        <v>139.70179999999999</v>
      </c>
      <c r="O143" s="109">
        <f t="shared" si="17"/>
        <v>660</v>
      </c>
      <c r="P143" s="109">
        <f t="shared" si="17"/>
        <v>670.18999999999983</v>
      </c>
      <c r="Q143" s="109">
        <f t="shared" si="17"/>
        <v>400</v>
      </c>
      <c r="R143" s="109">
        <f t="shared" si="17"/>
        <v>10</v>
      </c>
      <c r="S143" s="109">
        <f t="shared" si="17"/>
        <v>10</v>
      </c>
      <c r="T143" s="108">
        <f t="shared" si="17"/>
        <v>5259.0197000000244</v>
      </c>
      <c r="U143" s="101">
        <f>SUM(E143:T143)</f>
        <v>12023.871700000022</v>
      </c>
    </row>
    <row r="144" spans="1:21" x14ac:dyDescent="0.35">
      <c r="A144" s="113" t="s">
        <v>240</v>
      </c>
      <c r="B144" s="112" t="s">
        <v>147</v>
      </c>
      <c r="C144" s="111" t="s">
        <v>241</v>
      </c>
      <c r="D144" s="110">
        <v>0.67</v>
      </c>
      <c r="E144" s="463">
        <f t="shared" si="17"/>
        <v>6283524.6500000004</v>
      </c>
      <c r="F144" s="109">
        <f t="shared" si="17"/>
        <v>0</v>
      </c>
      <c r="G144" s="109">
        <f t="shared" si="17"/>
        <v>0</v>
      </c>
      <c r="H144" s="109">
        <f t="shared" si="17"/>
        <v>0</v>
      </c>
      <c r="I144" s="109">
        <f t="shared" si="17"/>
        <v>0</v>
      </c>
      <c r="J144" s="109">
        <f t="shared" si="17"/>
        <v>0</v>
      </c>
      <c r="K144" s="109">
        <f t="shared" si="17"/>
        <v>0</v>
      </c>
      <c r="L144" s="109">
        <f t="shared" si="17"/>
        <v>0</v>
      </c>
      <c r="M144" s="109">
        <f t="shared" si="17"/>
        <v>0</v>
      </c>
      <c r="N144" s="109">
        <f t="shared" si="17"/>
        <v>0</v>
      </c>
      <c r="O144" s="109">
        <f t="shared" si="17"/>
        <v>0</v>
      </c>
      <c r="P144" s="109">
        <f t="shared" si="17"/>
        <v>680381.65</v>
      </c>
      <c r="Q144" s="109">
        <f t="shared" si="17"/>
        <v>0</v>
      </c>
      <c r="R144" s="109">
        <f t="shared" si="17"/>
        <v>0</v>
      </c>
      <c r="S144" s="109">
        <f t="shared" si="17"/>
        <v>0</v>
      </c>
      <c r="T144" s="108">
        <f t="shared" si="17"/>
        <v>0</v>
      </c>
      <c r="U144" s="101"/>
    </row>
    <row r="145" spans="1:21" x14ac:dyDescent="0.35">
      <c r="A145" s="113" t="s">
        <v>240</v>
      </c>
      <c r="B145" s="112" t="s">
        <v>148</v>
      </c>
      <c r="C145" s="111" t="s">
        <v>22</v>
      </c>
      <c r="D145" s="110">
        <v>0.7</v>
      </c>
      <c r="E145" s="463">
        <f t="shared" si="17"/>
        <v>2007987.2792600002</v>
      </c>
      <c r="F145" s="109">
        <f t="shared" si="17"/>
        <v>21757.219649999999</v>
      </c>
      <c r="G145" s="109">
        <f t="shared" si="17"/>
        <v>864665.68319999997</v>
      </c>
      <c r="H145" s="109">
        <f t="shared" si="17"/>
        <v>64240.877300000007</v>
      </c>
      <c r="I145" s="109">
        <f t="shared" si="17"/>
        <v>832688.73442000011</v>
      </c>
      <c r="J145" s="109">
        <f t="shared" si="17"/>
        <v>173575.23480000001</v>
      </c>
      <c r="K145" s="109">
        <f t="shared" si="17"/>
        <v>21576.273799999999</v>
      </c>
      <c r="L145" s="109">
        <f t="shared" si="17"/>
        <v>350001.2146500001</v>
      </c>
      <c r="M145" s="109">
        <f t="shared" si="17"/>
        <v>25901.693999999996</v>
      </c>
      <c r="N145" s="109">
        <f t="shared" si="17"/>
        <v>209070.11285999999</v>
      </c>
      <c r="O145" s="109">
        <f t="shared" si="17"/>
        <v>7541964.7780500008</v>
      </c>
      <c r="P145" s="109">
        <f t="shared" si="17"/>
        <v>52408.800000000003</v>
      </c>
      <c r="Q145" s="109">
        <f t="shared" si="17"/>
        <v>82729.377500000017</v>
      </c>
      <c r="R145" s="109">
        <f t="shared" si="17"/>
        <v>2358114.0002599992</v>
      </c>
      <c r="S145" s="109">
        <f t="shared" si="17"/>
        <v>5821251.0408000024</v>
      </c>
      <c r="T145" s="108">
        <f t="shared" si="17"/>
        <v>1959727.2643800005</v>
      </c>
      <c r="U145" s="101">
        <f t="shared" ref="U145:U157" si="18">SUM(E145:T145)</f>
        <v>22387659.584930003</v>
      </c>
    </row>
    <row r="146" spans="1:21" x14ac:dyDescent="0.35">
      <c r="A146" s="113" t="s">
        <v>240</v>
      </c>
      <c r="B146" s="112" t="s">
        <v>149</v>
      </c>
      <c r="C146" s="111" t="s">
        <v>22</v>
      </c>
      <c r="D146" s="110">
        <v>0.41</v>
      </c>
      <c r="E146" s="463">
        <f t="shared" si="17"/>
        <v>0</v>
      </c>
      <c r="F146" s="109">
        <f t="shared" si="17"/>
        <v>143737.60000000001</v>
      </c>
      <c r="G146" s="109">
        <f t="shared" si="17"/>
        <v>0</v>
      </c>
      <c r="H146" s="109">
        <f t="shared" si="17"/>
        <v>217929.60000000001</v>
      </c>
      <c r="I146" s="109">
        <f t="shared" si="17"/>
        <v>0</v>
      </c>
      <c r="J146" s="109">
        <f t="shared" si="17"/>
        <v>0</v>
      </c>
      <c r="K146" s="109">
        <f t="shared" si="17"/>
        <v>0</v>
      </c>
      <c r="L146" s="109">
        <f t="shared" si="17"/>
        <v>1065961.6000000001</v>
      </c>
      <c r="M146" s="109">
        <f t="shared" si="17"/>
        <v>3317363.2</v>
      </c>
      <c r="N146" s="109">
        <f t="shared" si="17"/>
        <v>0</v>
      </c>
      <c r="O146" s="109">
        <f t="shared" si="17"/>
        <v>1005017.6000000001</v>
      </c>
      <c r="P146" s="109">
        <f t="shared" si="17"/>
        <v>0</v>
      </c>
      <c r="Q146" s="109">
        <f t="shared" si="17"/>
        <v>0</v>
      </c>
      <c r="R146" s="109">
        <f t="shared" si="17"/>
        <v>209059.20000000001</v>
      </c>
      <c r="S146" s="109">
        <f t="shared" si="17"/>
        <v>0</v>
      </c>
      <c r="T146" s="108">
        <f t="shared" si="17"/>
        <v>37011.519999999997</v>
      </c>
      <c r="U146" s="101">
        <f t="shared" si="18"/>
        <v>5996080.3199999994</v>
      </c>
    </row>
    <row r="147" spans="1:21" x14ac:dyDescent="0.35">
      <c r="A147" s="113" t="s">
        <v>240</v>
      </c>
      <c r="B147" s="112" t="s">
        <v>150</v>
      </c>
      <c r="C147" s="111" t="s">
        <v>22</v>
      </c>
      <c r="D147" s="110">
        <v>0.41</v>
      </c>
      <c r="E147" s="463">
        <f t="shared" si="17"/>
        <v>2775123.5809999998</v>
      </c>
      <c r="F147" s="109">
        <f t="shared" si="17"/>
        <v>0</v>
      </c>
      <c r="G147" s="109">
        <f t="shared" si="17"/>
        <v>478499.72499999998</v>
      </c>
      <c r="H147" s="109">
        <f t="shared" si="17"/>
        <v>0</v>
      </c>
      <c r="I147" s="109">
        <f t="shared" si="17"/>
        <v>0</v>
      </c>
      <c r="J147" s="109">
        <f t="shared" si="17"/>
        <v>0</v>
      </c>
      <c r="K147" s="109">
        <f t="shared" si="17"/>
        <v>0</v>
      </c>
      <c r="L147" s="109">
        <f t="shared" si="17"/>
        <v>331716.09239999996</v>
      </c>
      <c r="M147" s="109">
        <f t="shared" si="17"/>
        <v>1421835.6174999999</v>
      </c>
      <c r="N147" s="109">
        <f t="shared" si="17"/>
        <v>14189407.640900003</v>
      </c>
      <c r="O147" s="109">
        <f t="shared" si="17"/>
        <v>0</v>
      </c>
      <c r="P147" s="109">
        <f t="shared" si="17"/>
        <v>0</v>
      </c>
      <c r="Q147" s="109">
        <f t="shared" si="17"/>
        <v>2764764.9965999997</v>
      </c>
      <c r="R147" s="109">
        <f t="shared" si="17"/>
        <v>0</v>
      </c>
      <c r="S147" s="109">
        <f t="shared" si="17"/>
        <v>0</v>
      </c>
      <c r="T147" s="108">
        <f t="shared" si="17"/>
        <v>0</v>
      </c>
      <c r="U147" s="101">
        <f t="shared" si="18"/>
        <v>21961347.6534</v>
      </c>
    </row>
    <row r="148" spans="1:21" x14ac:dyDescent="0.35">
      <c r="A148" s="107" t="s">
        <v>239</v>
      </c>
      <c r="B148" s="106" t="s">
        <v>137</v>
      </c>
      <c r="C148" s="105" t="s">
        <v>23</v>
      </c>
      <c r="D148" s="104"/>
      <c r="E148" s="463">
        <f t="shared" si="17"/>
        <v>0</v>
      </c>
      <c r="F148" s="513">
        <f>MAX(F94+(F121-F94)*$D148, F94)</f>
        <v>0</v>
      </c>
      <c r="G148" s="513">
        <f t="shared" si="17"/>
        <v>0</v>
      </c>
      <c r="H148" s="513">
        <f t="shared" si="17"/>
        <v>0</v>
      </c>
      <c r="I148" s="513">
        <f t="shared" si="17"/>
        <v>0</v>
      </c>
      <c r="J148" s="513">
        <f t="shared" si="17"/>
        <v>0</v>
      </c>
      <c r="K148" s="513">
        <f t="shared" si="17"/>
        <v>0</v>
      </c>
      <c r="L148" s="513">
        <f t="shared" si="17"/>
        <v>0</v>
      </c>
      <c r="M148" s="513">
        <f t="shared" si="17"/>
        <v>0</v>
      </c>
      <c r="N148" s="513">
        <f t="shared" si="17"/>
        <v>0</v>
      </c>
      <c r="O148" s="513">
        <f t="shared" si="17"/>
        <v>0</v>
      </c>
      <c r="P148" s="513">
        <f t="shared" si="17"/>
        <v>0</v>
      </c>
      <c r="Q148" s="513">
        <f t="shared" si="17"/>
        <v>0</v>
      </c>
      <c r="R148" s="513">
        <f t="shared" si="17"/>
        <v>0</v>
      </c>
      <c r="S148" s="513">
        <f t="shared" si="17"/>
        <v>0</v>
      </c>
      <c r="T148" s="515">
        <f t="shared" si="17"/>
        <v>0</v>
      </c>
      <c r="U148" s="101">
        <f t="shared" si="18"/>
        <v>0</v>
      </c>
    </row>
    <row r="149" spans="1:21" x14ac:dyDescent="0.35">
      <c r="A149" s="107" t="s">
        <v>239</v>
      </c>
      <c r="B149" s="106" t="s">
        <v>138</v>
      </c>
      <c r="C149" s="105" t="s">
        <v>139</v>
      </c>
      <c r="D149" s="104">
        <v>0.8</v>
      </c>
      <c r="E149" s="463">
        <f t="shared" si="17"/>
        <v>7734561.7800000012</v>
      </c>
      <c r="F149" s="103">
        <f t="shared" si="17"/>
        <v>2972233.4000000004</v>
      </c>
      <c r="G149" s="103">
        <f t="shared" si="17"/>
        <v>847220</v>
      </c>
      <c r="H149" s="103">
        <f t="shared" si="17"/>
        <v>3272633.05</v>
      </c>
      <c r="I149" s="103">
        <f t="shared" si="17"/>
        <v>3447891.24</v>
      </c>
      <c r="J149" s="103">
        <f t="shared" si="17"/>
        <v>1171976.7</v>
      </c>
      <c r="K149" s="103">
        <f t="shared" si="17"/>
        <v>1379592.5</v>
      </c>
      <c r="L149" s="103">
        <f t="shared" si="17"/>
        <v>4223263.84</v>
      </c>
      <c r="M149" s="103">
        <f t="shared" si="17"/>
        <v>2548263.3200000003</v>
      </c>
      <c r="N149" s="103">
        <f t="shared" si="17"/>
        <v>5847239.0500000007</v>
      </c>
      <c r="O149" s="103">
        <f t="shared" si="17"/>
        <v>639690</v>
      </c>
      <c r="P149" s="103">
        <f t="shared" si="17"/>
        <v>3054662.3</v>
      </c>
      <c r="Q149" s="103">
        <f t="shared" si="17"/>
        <v>770889.84000000008</v>
      </c>
      <c r="R149" s="103">
        <f t="shared" si="17"/>
        <v>2052835.78</v>
      </c>
      <c r="S149" s="103">
        <f t="shared" si="17"/>
        <v>1472730</v>
      </c>
      <c r="T149" s="102">
        <f t="shared" si="17"/>
        <v>3919565.7</v>
      </c>
      <c r="U149" s="101">
        <f t="shared" si="18"/>
        <v>45355248.5</v>
      </c>
    </row>
    <row r="150" spans="1:21" x14ac:dyDescent="0.35">
      <c r="A150" s="107" t="s">
        <v>239</v>
      </c>
      <c r="B150" s="106" t="s">
        <v>140</v>
      </c>
      <c r="C150" s="105" t="s">
        <v>22</v>
      </c>
      <c r="D150" s="104"/>
      <c r="E150" s="463">
        <f t="shared" si="17"/>
        <v>0</v>
      </c>
      <c r="F150" s="103">
        <f t="shared" si="17"/>
        <v>0</v>
      </c>
      <c r="G150" s="103">
        <f t="shared" si="17"/>
        <v>0</v>
      </c>
      <c r="H150" s="103">
        <f t="shared" si="17"/>
        <v>0</v>
      </c>
      <c r="I150" s="103">
        <f t="shared" si="17"/>
        <v>0</v>
      </c>
      <c r="J150" s="103">
        <f t="shared" si="17"/>
        <v>0</v>
      </c>
      <c r="K150" s="103">
        <f t="shared" si="17"/>
        <v>0</v>
      </c>
      <c r="L150" s="103">
        <f t="shared" si="17"/>
        <v>0</v>
      </c>
      <c r="M150" s="103">
        <f t="shared" si="17"/>
        <v>0</v>
      </c>
      <c r="N150" s="103">
        <f t="shared" si="17"/>
        <v>0</v>
      </c>
      <c r="O150" s="103">
        <f t="shared" si="17"/>
        <v>0</v>
      </c>
      <c r="P150" s="103">
        <f t="shared" si="17"/>
        <v>151153.18220000001</v>
      </c>
      <c r="Q150" s="103">
        <f t="shared" si="17"/>
        <v>0</v>
      </c>
      <c r="R150" s="103">
        <f t="shared" si="17"/>
        <v>619864.18569999991</v>
      </c>
      <c r="S150" s="103">
        <f t="shared" si="17"/>
        <v>0</v>
      </c>
      <c r="T150" s="102">
        <f t="shared" si="17"/>
        <v>1165604.58</v>
      </c>
      <c r="U150" s="101">
        <f t="shared" si="18"/>
        <v>1936621.9479</v>
      </c>
    </row>
    <row r="151" spans="1:21" x14ac:dyDescent="0.35">
      <c r="A151" s="107" t="s">
        <v>239</v>
      </c>
      <c r="B151" s="106" t="s">
        <v>141</v>
      </c>
      <c r="C151" s="105" t="s">
        <v>22</v>
      </c>
      <c r="D151" s="104"/>
      <c r="E151" s="463">
        <f t="shared" si="17"/>
        <v>7885075.5110000018</v>
      </c>
      <c r="F151" s="103">
        <f t="shared" si="17"/>
        <v>0</v>
      </c>
      <c r="G151" s="103">
        <f t="shared" si="17"/>
        <v>0</v>
      </c>
      <c r="H151" s="103">
        <f t="shared" si="17"/>
        <v>0</v>
      </c>
      <c r="I151" s="103">
        <f t="shared" si="17"/>
        <v>0</v>
      </c>
      <c r="J151" s="103">
        <f t="shared" si="17"/>
        <v>0</v>
      </c>
      <c r="K151" s="103">
        <f t="shared" si="17"/>
        <v>0</v>
      </c>
      <c r="L151" s="103">
        <f t="shared" si="17"/>
        <v>0</v>
      </c>
      <c r="M151" s="103">
        <f t="shared" si="17"/>
        <v>0</v>
      </c>
      <c r="N151" s="103">
        <f t="shared" si="17"/>
        <v>0</v>
      </c>
      <c r="O151" s="103">
        <f t="shared" si="17"/>
        <v>0</v>
      </c>
      <c r="P151" s="103">
        <f t="shared" si="17"/>
        <v>0</v>
      </c>
      <c r="Q151" s="103">
        <f t="shared" si="17"/>
        <v>0</v>
      </c>
      <c r="R151" s="103">
        <f t="shared" si="17"/>
        <v>0</v>
      </c>
      <c r="S151" s="103">
        <f t="shared" si="17"/>
        <v>0</v>
      </c>
      <c r="T151" s="102">
        <f t="shared" si="17"/>
        <v>0</v>
      </c>
      <c r="U151" s="101">
        <f t="shared" si="18"/>
        <v>7885075.5110000018</v>
      </c>
    </row>
    <row r="152" spans="1:21" x14ac:dyDescent="0.35">
      <c r="A152" s="107" t="s">
        <v>239</v>
      </c>
      <c r="B152" s="106" t="s">
        <v>142</v>
      </c>
      <c r="C152" s="105" t="s">
        <v>22</v>
      </c>
      <c r="D152" s="104"/>
      <c r="E152" s="463">
        <f t="shared" si="17"/>
        <v>70464.239999999991</v>
      </c>
      <c r="F152" s="103">
        <f t="shared" si="17"/>
        <v>0</v>
      </c>
      <c r="G152" s="103">
        <f t="shared" si="17"/>
        <v>0</v>
      </c>
      <c r="H152" s="103">
        <f t="shared" si="17"/>
        <v>0</v>
      </c>
      <c r="I152" s="103">
        <f t="shared" si="17"/>
        <v>8816.64</v>
      </c>
      <c r="J152" s="103">
        <f t="shared" si="17"/>
        <v>340990.44000000024</v>
      </c>
      <c r="K152" s="103">
        <f t="shared" si="17"/>
        <v>45633</v>
      </c>
      <c r="L152" s="103">
        <f t="shared" si="17"/>
        <v>722909.03159999999</v>
      </c>
      <c r="M152" s="103">
        <f t="shared" si="17"/>
        <v>0</v>
      </c>
      <c r="N152" s="103">
        <f t="shared" si="17"/>
        <v>84309.119999999995</v>
      </c>
      <c r="O152" s="103">
        <f t="shared" ref="F152:T157" si="19">MAX(O98+(O125-O98)*$D152, O98)</f>
        <v>91575.96</v>
      </c>
      <c r="P152" s="103">
        <f t="shared" si="19"/>
        <v>729805.98599999899</v>
      </c>
      <c r="Q152" s="103">
        <f t="shared" si="19"/>
        <v>53933.04</v>
      </c>
      <c r="R152" s="103">
        <f t="shared" si="19"/>
        <v>0</v>
      </c>
      <c r="S152" s="103">
        <f t="shared" si="19"/>
        <v>0</v>
      </c>
      <c r="T152" s="102">
        <f t="shared" si="19"/>
        <v>0</v>
      </c>
      <c r="U152" s="101">
        <f t="shared" si="18"/>
        <v>2148437.4575999994</v>
      </c>
    </row>
    <row r="153" spans="1:21" x14ac:dyDescent="0.35">
      <c r="A153" s="107" t="s">
        <v>239</v>
      </c>
      <c r="B153" s="106" t="s">
        <v>143</v>
      </c>
      <c r="C153" s="105" t="s">
        <v>22</v>
      </c>
      <c r="D153" s="104"/>
      <c r="E153" s="463">
        <f t="shared" si="17"/>
        <v>361103.4</v>
      </c>
      <c r="F153" s="103">
        <f t="shared" si="19"/>
        <v>47182.8</v>
      </c>
      <c r="G153" s="103">
        <f t="shared" si="19"/>
        <v>0</v>
      </c>
      <c r="H153" s="103">
        <f t="shared" si="19"/>
        <v>0</v>
      </c>
      <c r="I153" s="103">
        <f t="shared" si="19"/>
        <v>0</v>
      </c>
      <c r="J153" s="103">
        <f t="shared" si="19"/>
        <v>0</v>
      </c>
      <c r="K153" s="103">
        <f t="shared" si="19"/>
        <v>0</v>
      </c>
      <c r="L153" s="103">
        <f t="shared" si="19"/>
        <v>0</v>
      </c>
      <c r="M153" s="103">
        <f t="shared" si="19"/>
        <v>0</v>
      </c>
      <c r="N153" s="103">
        <f t="shared" si="19"/>
        <v>0</v>
      </c>
      <c r="O153" s="103">
        <f t="shared" si="19"/>
        <v>0</v>
      </c>
      <c r="P153" s="103">
        <f t="shared" si="19"/>
        <v>0</v>
      </c>
      <c r="Q153" s="103">
        <f t="shared" si="19"/>
        <v>0</v>
      </c>
      <c r="R153" s="103">
        <f t="shared" si="19"/>
        <v>0</v>
      </c>
      <c r="S153" s="103">
        <f t="shared" si="19"/>
        <v>0</v>
      </c>
      <c r="T153" s="102">
        <f t="shared" si="19"/>
        <v>23591.4</v>
      </c>
      <c r="U153" s="101">
        <f t="shared" si="18"/>
        <v>431877.60000000003</v>
      </c>
    </row>
    <row r="154" spans="1:21" x14ac:dyDescent="0.35">
      <c r="A154" s="107" t="s">
        <v>239</v>
      </c>
      <c r="B154" s="106" t="s">
        <v>145</v>
      </c>
      <c r="C154" s="105" t="s">
        <v>23</v>
      </c>
      <c r="D154" s="104"/>
      <c r="E154" s="463">
        <f t="shared" si="17"/>
        <v>2225643</v>
      </c>
      <c r="F154" s="103">
        <f t="shared" si="19"/>
        <v>1614686</v>
      </c>
      <c r="G154" s="103">
        <f t="shared" si="19"/>
        <v>4718703</v>
      </c>
      <c r="H154" s="103">
        <f t="shared" si="19"/>
        <v>1526721</v>
      </c>
      <c r="I154" s="103">
        <f t="shared" si="19"/>
        <v>3623877</v>
      </c>
      <c r="J154" s="103">
        <f t="shared" si="19"/>
        <v>3269732</v>
      </c>
      <c r="K154" s="103">
        <f t="shared" si="19"/>
        <v>3316367</v>
      </c>
      <c r="L154" s="103">
        <f t="shared" si="19"/>
        <v>2950500</v>
      </c>
      <c r="M154" s="103">
        <f t="shared" si="19"/>
        <v>2559109</v>
      </c>
      <c r="N154" s="103">
        <f t="shared" si="19"/>
        <v>1049206</v>
      </c>
      <c r="O154" s="103">
        <f t="shared" si="19"/>
        <v>501885</v>
      </c>
      <c r="P154" s="103">
        <f t="shared" si="19"/>
        <v>210146</v>
      </c>
      <c r="Q154" s="103">
        <f t="shared" si="19"/>
        <v>3315376</v>
      </c>
      <c r="R154" s="103">
        <f t="shared" si="19"/>
        <v>3430820</v>
      </c>
      <c r="S154" s="103">
        <f t="shared" si="19"/>
        <v>1102386</v>
      </c>
      <c r="T154" s="102">
        <f t="shared" si="19"/>
        <v>102725</v>
      </c>
      <c r="U154" s="101">
        <f t="shared" si="18"/>
        <v>35517882</v>
      </c>
    </row>
    <row r="155" spans="1:21" x14ac:dyDescent="0.35">
      <c r="A155" s="107" t="s">
        <v>239</v>
      </c>
      <c r="B155" s="106" t="s">
        <v>148</v>
      </c>
      <c r="C155" s="105" t="s">
        <v>22</v>
      </c>
      <c r="D155" s="104">
        <v>0.6</v>
      </c>
      <c r="E155" s="463">
        <f t="shared" si="17"/>
        <v>1264019.9249999996</v>
      </c>
      <c r="F155" s="103">
        <f t="shared" si="19"/>
        <v>70029</v>
      </c>
      <c r="G155" s="103">
        <f t="shared" si="19"/>
        <v>78503.967099999994</v>
      </c>
      <c r="H155" s="103">
        <f t="shared" si="19"/>
        <v>0</v>
      </c>
      <c r="I155" s="103">
        <f t="shared" si="19"/>
        <v>0</v>
      </c>
      <c r="J155" s="103">
        <f t="shared" si="19"/>
        <v>0</v>
      </c>
      <c r="K155" s="103">
        <f t="shared" si="19"/>
        <v>84056.839720000018</v>
      </c>
      <c r="L155" s="103">
        <f t="shared" si="19"/>
        <v>362967.03879999998</v>
      </c>
      <c r="M155" s="103">
        <f t="shared" si="19"/>
        <v>98291.925239999997</v>
      </c>
      <c r="N155" s="103">
        <f t="shared" si="19"/>
        <v>47041.415999999997</v>
      </c>
      <c r="O155" s="103">
        <f t="shared" si="19"/>
        <v>3414159.9224000047</v>
      </c>
      <c r="P155" s="103">
        <f t="shared" si="19"/>
        <v>369875.10600000003</v>
      </c>
      <c r="Q155" s="103">
        <f t="shared" si="19"/>
        <v>79280.820780000009</v>
      </c>
      <c r="R155" s="103">
        <f t="shared" si="19"/>
        <v>287840.80409999995</v>
      </c>
      <c r="S155" s="103">
        <f t="shared" si="19"/>
        <v>4983243.4892199999</v>
      </c>
      <c r="T155" s="102">
        <f t="shared" si="19"/>
        <v>857114.50437999982</v>
      </c>
      <c r="U155" s="101">
        <f t="shared" si="18"/>
        <v>11996424.758740004</v>
      </c>
    </row>
    <row r="156" spans="1:21" x14ac:dyDescent="0.35">
      <c r="A156" s="107" t="s">
        <v>239</v>
      </c>
      <c r="B156" s="106" t="s">
        <v>149</v>
      </c>
      <c r="C156" s="105" t="s">
        <v>22</v>
      </c>
      <c r="D156" s="104">
        <v>0.38</v>
      </c>
      <c r="E156" s="463">
        <f t="shared" si="17"/>
        <v>0</v>
      </c>
      <c r="F156" s="103">
        <f t="shared" si="19"/>
        <v>0</v>
      </c>
      <c r="G156" s="103">
        <f t="shared" si="19"/>
        <v>0</v>
      </c>
      <c r="H156" s="103">
        <f t="shared" si="19"/>
        <v>0</v>
      </c>
      <c r="I156" s="103">
        <f t="shared" si="19"/>
        <v>0</v>
      </c>
      <c r="J156" s="103">
        <f t="shared" si="19"/>
        <v>0</v>
      </c>
      <c r="K156" s="103">
        <f t="shared" si="19"/>
        <v>0</v>
      </c>
      <c r="L156" s="103">
        <f t="shared" si="19"/>
        <v>0</v>
      </c>
      <c r="M156" s="103">
        <f t="shared" si="19"/>
        <v>985833.60000000009</v>
      </c>
      <c r="N156" s="103">
        <f t="shared" si="19"/>
        <v>0</v>
      </c>
      <c r="O156" s="103">
        <f t="shared" si="19"/>
        <v>0</v>
      </c>
      <c r="P156" s="103">
        <f t="shared" si="19"/>
        <v>0</v>
      </c>
      <c r="Q156" s="103">
        <f t="shared" si="19"/>
        <v>0</v>
      </c>
      <c r="R156" s="103">
        <f t="shared" si="19"/>
        <v>0</v>
      </c>
      <c r="S156" s="103">
        <f t="shared" si="19"/>
        <v>0</v>
      </c>
      <c r="T156" s="102">
        <f t="shared" si="19"/>
        <v>0</v>
      </c>
      <c r="U156" s="101">
        <f t="shared" si="18"/>
        <v>985833.60000000009</v>
      </c>
    </row>
    <row r="157" spans="1:21" ht="15" thickBot="1" x14ac:dyDescent="0.4">
      <c r="A157" s="100" t="s">
        <v>239</v>
      </c>
      <c r="B157" s="99" t="s">
        <v>150</v>
      </c>
      <c r="C157" s="98" t="s">
        <v>22</v>
      </c>
      <c r="D157" s="97">
        <v>0.38</v>
      </c>
      <c r="E157" s="464">
        <f t="shared" si="17"/>
        <v>385082.88</v>
      </c>
      <c r="F157" s="96">
        <f t="shared" si="19"/>
        <v>0</v>
      </c>
      <c r="G157" s="96">
        <f t="shared" si="19"/>
        <v>0</v>
      </c>
      <c r="H157" s="96">
        <f t="shared" si="19"/>
        <v>0</v>
      </c>
      <c r="I157" s="96">
        <f t="shared" si="19"/>
        <v>0</v>
      </c>
      <c r="J157" s="96">
        <f t="shared" si="19"/>
        <v>0</v>
      </c>
      <c r="K157" s="96">
        <f t="shared" si="19"/>
        <v>0</v>
      </c>
      <c r="L157" s="96">
        <f t="shared" si="19"/>
        <v>0</v>
      </c>
      <c r="M157" s="96">
        <f t="shared" si="19"/>
        <v>275263.45</v>
      </c>
      <c r="N157" s="96">
        <f t="shared" si="19"/>
        <v>4562377.7246000003</v>
      </c>
      <c r="O157" s="96">
        <f t="shared" si="19"/>
        <v>4500102.9749999996</v>
      </c>
      <c r="P157" s="96">
        <f t="shared" si="19"/>
        <v>0</v>
      </c>
      <c r="Q157" s="96">
        <f t="shared" si="19"/>
        <v>1151797.7</v>
      </c>
      <c r="R157" s="96">
        <f t="shared" si="19"/>
        <v>0</v>
      </c>
      <c r="S157" s="96">
        <f t="shared" si="19"/>
        <v>681712.5</v>
      </c>
      <c r="T157" s="95">
        <f t="shared" si="19"/>
        <v>395062.5</v>
      </c>
      <c r="U157" s="94">
        <f t="shared" si="18"/>
        <v>11951399.729599999</v>
      </c>
    </row>
    <row r="158" spans="1:21" x14ac:dyDescent="0.35">
      <c r="B158" s="93" t="s">
        <v>191</v>
      </c>
      <c r="E158" s="476">
        <f t="shared" ref="E158:T158" si="20">SUM(E135:E157)</f>
        <v>40846141.655860007</v>
      </c>
      <c r="F158" s="466">
        <f t="shared" si="20"/>
        <v>15066663.157532001</v>
      </c>
      <c r="G158" s="466">
        <f t="shared" si="20"/>
        <v>16023959.844999999</v>
      </c>
      <c r="H158" s="466">
        <f t="shared" si="20"/>
        <v>25308312.403015003</v>
      </c>
      <c r="I158" s="466">
        <f t="shared" si="20"/>
        <v>18764483.547862999</v>
      </c>
      <c r="J158" s="466">
        <f t="shared" si="20"/>
        <v>13276060.775599999</v>
      </c>
      <c r="K158" s="466">
        <f t="shared" si="20"/>
        <v>14616776.42702</v>
      </c>
      <c r="L158" s="466">
        <f t="shared" si="20"/>
        <v>19639764.78119</v>
      </c>
      <c r="M158" s="466">
        <f t="shared" si="20"/>
        <v>17897667.274239998</v>
      </c>
      <c r="N158" s="466">
        <f t="shared" si="20"/>
        <v>34630571.872518003</v>
      </c>
      <c r="O158" s="466">
        <f t="shared" si="20"/>
        <v>25379470.409650005</v>
      </c>
      <c r="P158" s="466">
        <f t="shared" si="20"/>
        <v>17610330.225999996</v>
      </c>
      <c r="Q158" s="466">
        <f t="shared" si="20"/>
        <v>18474128.664079998</v>
      </c>
      <c r="R158" s="466">
        <f t="shared" si="20"/>
        <v>19624349.211264998</v>
      </c>
      <c r="S158" s="466">
        <f t="shared" si="20"/>
        <v>25564244.273420006</v>
      </c>
      <c r="T158" s="467">
        <f t="shared" si="20"/>
        <v>17621981.735238999</v>
      </c>
      <c r="U158" s="62">
        <f>SUM(E158:T158)/16</f>
        <v>21271556.641218252</v>
      </c>
    </row>
    <row r="159" spans="1:21" x14ac:dyDescent="0.35">
      <c r="E159" s="477" t="s">
        <v>376</v>
      </c>
      <c r="F159" s="468">
        <f>SUM(F135:F147)-F104</f>
        <v>618404.67703200132</v>
      </c>
      <c r="G159" s="468">
        <f t="shared" ref="G159:T159" si="21">SUM(G135:G147)-G104</f>
        <v>478499.72499999963</v>
      </c>
      <c r="H159" s="468">
        <f t="shared" si="21"/>
        <v>10551096.697715003</v>
      </c>
      <c r="I159" s="468">
        <f t="shared" si="21"/>
        <v>2770437.2687630001</v>
      </c>
      <c r="J159" s="468">
        <f t="shared" si="21"/>
        <v>0</v>
      </c>
      <c r="K159" s="468">
        <f t="shared" si="21"/>
        <v>0</v>
      </c>
      <c r="L159" s="468">
        <f t="shared" si="21"/>
        <v>1430157.3375899978</v>
      </c>
      <c r="M159" s="468">
        <f t="shared" si="21"/>
        <v>1573169.1789999977</v>
      </c>
      <c r="N159" s="468">
        <f t="shared" si="21"/>
        <v>15287649.173518002</v>
      </c>
      <c r="O159" s="468">
        <f t="shared" si="21"/>
        <v>6277030.5514500011</v>
      </c>
      <c r="P159" s="468">
        <f t="shared" si="21"/>
        <v>3141969.0549999978</v>
      </c>
      <c r="Q159" s="468">
        <f t="shared" si="21"/>
        <v>3143466.9966000002</v>
      </c>
      <c r="R159" s="468">
        <f t="shared" si="21"/>
        <v>3403706.384265</v>
      </c>
      <c r="S159" s="468">
        <f t="shared" si="21"/>
        <v>7405086.5325000025</v>
      </c>
      <c r="T159" s="469">
        <f t="shared" si="21"/>
        <v>1768876.4123589993</v>
      </c>
    </row>
    <row r="160" spans="1:21" ht="15" thickBot="1" x14ac:dyDescent="0.4">
      <c r="E160" s="475" t="s">
        <v>378</v>
      </c>
      <c r="F160" s="470">
        <f>SUM(F148:F157)-F105</f>
        <v>0</v>
      </c>
      <c r="G160" s="470">
        <f t="shared" ref="G160:T160" si="22">SUM(G148:G157)-G105</f>
        <v>847220</v>
      </c>
      <c r="H160" s="470">
        <f t="shared" si="22"/>
        <v>0</v>
      </c>
      <c r="I160" s="470">
        <f t="shared" si="22"/>
        <v>2284434.540000001</v>
      </c>
      <c r="J160" s="470">
        <f t="shared" si="22"/>
        <v>0</v>
      </c>
      <c r="K160" s="470">
        <f t="shared" si="22"/>
        <v>69238.600619999692</v>
      </c>
      <c r="L160" s="470">
        <f t="shared" si="22"/>
        <v>3587833.84</v>
      </c>
      <c r="M160" s="470">
        <f t="shared" si="22"/>
        <v>1697348.8952400004</v>
      </c>
      <c r="N160" s="470">
        <f t="shared" si="22"/>
        <v>8158138.5246000011</v>
      </c>
      <c r="O160" s="470">
        <f t="shared" si="22"/>
        <v>4500102.9749999996</v>
      </c>
      <c r="P160" s="470">
        <f t="shared" si="22"/>
        <v>0</v>
      </c>
      <c r="Q160" s="470">
        <f t="shared" si="22"/>
        <v>582965.08657999989</v>
      </c>
      <c r="R160" s="470">
        <f t="shared" si="22"/>
        <v>1102543.2800000012</v>
      </c>
      <c r="S160" s="470">
        <f t="shared" si="22"/>
        <v>3444317.6092200028</v>
      </c>
      <c r="T160" s="471">
        <f t="shared" si="22"/>
        <v>513113.1859799996</v>
      </c>
    </row>
    <row r="161" spans="2:6" x14ac:dyDescent="0.35">
      <c r="E161" s="91"/>
      <c r="F161" s="62"/>
    </row>
    <row r="162" spans="2:6" x14ac:dyDescent="0.35">
      <c r="E162" s="91"/>
      <c r="F162" s="62"/>
    </row>
    <row r="163" spans="2:6" x14ac:dyDescent="0.35">
      <c r="E163" s="91"/>
      <c r="F163" s="62"/>
    </row>
    <row r="164" spans="2:6" ht="15" thickBot="1" x14ac:dyDescent="0.4"/>
    <row r="165" spans="2:6" ht="15" thickBot="1" x14ac:dyDescent="0.4">
      <c r="B165" s="563" t="s">
        <v>402</v>
      </c>
      <c r="C165" s="220" t="s">
        <v>408</v>
      </c>
      <c r="D165" s="220" t="s">
        <v>409</v>
      </c>
    </row>
    <row r="166" spans="2:6" ht="26.5" x14ac:dyDescent="0.35">
      <c r="B166" s="564" t="s">
        <v>403</v>
      </c>
      <c r="C166" s="565">
        <v>22.2</v>
      </c>
      <c r="D166" s="565">
        <f>(SUM(F136:T136)-SUM(E82:T82))/1000000</f>
        <v>19.281750765000002</v>
      </c>
    </row>
    <row r="167" spans="2:6" ht="26.5" x14ac:dyDescent="0.35">
      <c r="B167" s="564" t="s">
        <v>404</v>
      </c>
      <c r="C167" s="565">
        <v>21.1</v>
      </c>
      <c r="D167" s="565"/>
    </row>
    <row r="168" spans="2:6" ht="26.5" x14ac:dyDescent="0.35">
      <c r="B168" s="564" t="s">
        <v>405</v>
      </c>
      <c r="C168" s="565">
        <v>3.9</v>
      </c>
      <c r="D168" s="565"/>
    </row>
    <row r="169" spans="2:6" ht="26.5" x14ac:dyDescent="0.35">
      <c r="B169" s="564" t="s">
        <v>406</v>
      </c>
      <c r="C169" s="565">
        <v>8.1999999999999993</v>
      </c>
      <c r="D169" s="565"/>
    </row>
    <row r="170" spans="2:6" ht="26.5" x14ac:dyDescent="0.35">
      <c r="B170" s="564" t="s">
        <v>407</v>
      </c>
      <c r="C170" s="565">
        <v>18.8</v>
      </c>
      <c r="D170" s="565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CF96D-B255-4493-9DA6-4E2E8B95FA24}">
  <dimension ref="A1:M50"/>
  <sheetViews>
    <sheetView topLeftCell="A22" zoomScaleNormal="100" workbookViewId="0">
      <selection activeCell="O27" sqref="O27"/>
    </sheetView>
  </sheetViews>
  <sheetFormatPr defaultRowHeight="14.5" x14ac:dyDescent="0.35"/>
  <cols>
    <col min="1" max="1" width="14.36328125" customWidth="1"/>
    <col min="2" max="2" width="14.453125" customWidth="1"/>
    <col min="3" max="3" width="14.81640625" customWidth="1"/>
    <col min="4" max="22" width="14.90625" customWidth="1"/>
  </cols>
  <sheetData>
    <row r="1" spans="1:11" ht="15" thickBot="1" x14ac:dyDescent="0.4">
      <c r="B1" s="91" t="s">
        <v>245</v>
      </c>
    </row>
    <row r="2" spans="1:11" x14ac:dyDescent="0.35">
      <c r="A2" s="217" t="s">
        <v>137</v>
      </c>
      <c r="B2" s="241">
        <f>Structures!V81</f>
        <v>0</v>
      </c>
      <c r="C2" s="228">
        <f t="shared" ref="C2:K2" si="0">C28*$B2</f>
        <v>0</v>
      </c>
      <c r="D2" s="222">
        <f t="shared" si="0"/>
        <v>0</v>
      </c>
      <c r="E2" s="222">
        <f t="shared" si="0"/>
        <v>0</v>
      </c>
      <c r="F2" s="222">
        <f t="shared" si="0"/>
        <v>0</v>
      </c>
      <c r="G2" s="222">
        <f t="shared" si="0"/>
        <v>0</v>
      </c>
      <c r="H2" s="222">
        <f t="shared" si="0"/>
        <v>0</v>
      </c>
      <c r="I2" s="222">
        <f t="shared" si="0"/>
        <v>0</v>
      </c>
      <c r="J2" s="222">
        <f t="shared" si="0"/>
        <v>0</v>
      </c>
      <c r="K2" s="223">
        <f t="shared" si="0"/>
        <v>0</v>
      </c>
    </row>
    <row r="3" spans="1:11" x14ac:dyDescent="0.35">
      <c r="A3" s="216" t="s">
        <v>138</v>
      </c>
      <c r="B3" s="242">
        <f>Structures!V82</f>
        <v>16281.660334528076</v>
      </c>
      <c r="C3" s="229">
        <f t="shared" ref="C3:K3" si="1">C29*$B3</f>
        <v>0</v>
      </c>
      <c r="D3" s="224">
        <f t="shared" si="1"/>
        <v>358196.5273596177</v>
      </c>
      <c r="E3" s="224">
        <f t="shared" si="1"/>
        <v>390759.84802867385</v>
      </c>
      <c r="F3" s="224">
        <f t="shared" si="1"/>
        <v>3598246.9339307048</v>
      </c>
      <c r="G3" s="224">
        <f t="shared" si="1"/>
        <v>2035207.5418160094</v>
      </c>
      <c r="H3" s="224">
        <f t="shared" si="1"/>
        <v>634984.75304659503</v>
      </c>
      <c r="I3" s="224">
        <f t="shared" si="1"/>
        <v>700111.39438470732</v>
      </c>
      <c r="J3" s="224">
        <f t="shared" si="1"/>
        <v>0</v>
      </c>
      <c r="K3" s="225">
        <f t="shared" si="1"/>
        <v>0</v>
      </c>
    </row>
    <row r="4" spans="1:11" x14ac:dyDescent="0.35">
      <c r="A4" s="216" t="s">
        <v>140</v>
      </c>
      <c r="B4" s="242">
        <f>Structures!V83</f>
        <v>66.952216090347406</v>
      </c>
      <c r="C4" s="229">
        <f t="shared" ref="C4:K4" si="2">C30*$B4</f>
        <v>0</v>
      </c>
      <c r="D4" s="224">
        <f t="shared" si="2"/>
        <v>0</v>
      </c>
      <c r="E4" s="224">
        <f t="shared" si="2"/>
        <v>0</v>
      </c>
      <c r="F4" s="224">
        <f t="shared" si="2"/>
        <v>0</v>
      </c>
      <c r="G4" s="224">
        <f t="shared" si="2"/>
        <v>0</v>
      </c>
      <c r="H4" s="224">
        <f t="shared" si="2"/>
        <v>0</v>
      </c>
      <c r="I4" s="224">
        <f t="shared" si="2"/>
        <v>0</v>
      </c>
      <c r="J4" s="224">
        <f t="shared" si="2"/>
        <v>0</v>
      </c>
      <c r="K4" s="225">
        <f t="shared" si="2"/>
        <v>0</v>
      </c>
    </row>
    <row r="5" spans="1:11" x14ac:dyDescent="0.35">
      <c r="A5" s="216" t="s">
        <v>141</v>
      </c>
      <c r="B5" s="242">
        <f>Structures!V84</f>
        <v>288.0137638689032</v>
      </c>
      <c r="C5" s="229">
        <f t="shared" ref="C5:K5" si="3">C31*$B5</f>
        <v>0</v>
      </c>
      <c r="D5" s="224">
        <f t="shared" si="3"/>
        <v>0</v>
      </c>
      <c r="E5" s="224">
        <f t="shared" si="3"/>
        <v>261323.52837117191</v>
      </c>
      <c r="F5" s="224">
        <f t="shared" si="3"/>
        <v>75416.116055308434</v>
      </c>
      <c r="G5" s="224">
        <f t="shared" si="3"/>
        <v>0</v>
      </c>
      <c r="H5" s="224">
        <f t="shared" si="3"/>
        <v>273273.7954616205</v>
      </c>
      <c r="I5" s="224">
        <f t="shared" si="3"/>
        <v>5247.6107776914159</v>
      </c>
      <c r="J5" s="224">
        <f t="shared" si="3"/>
        <v>0</v>
      </c>
      <c r="K5" s="225">
        <f t="shared" si="3"/>
        <v>383660.25471212715</v>
      </c>
    </row>
    <row r="6" spans="1:11" x14ac:dyDescent="0.35">
      <c r="A6" s="216" t="s">
        <v>142</v>
      </c>
      <c r="B6" s="242">
        <f>Structures!V85</f>
        <v>3.206827267132712</v>
      </c>
      <c r="C6" s="229">
        <f t="shared" ref="C6:K6" si="4">C32*$B6</f>
        <v>0</v>
      </c>
      <c r="D6" s="224">
        <f t="shared" si="4"/>
        <v>0</v>
      </c>
      <c r="E6" s="224">
        <f t="shared" si="4"/>
        <v>0</v>
      </c>
      <c r="F6" s="224">
        <f t="shared" si="4"/>
        <v>0</v>
      </c>
      <c r="G6" s="224">
        <f t="shared" si="4"/>
        <v>0</v>
      </c>
      <c r="H6" s="224">
        <f t="shared" si="4"/>
        <v>0</v>
      </c>
      <c r="I6" s="224">
        <f t="shared" si="4"/>
        <v>0</v>
      </c>
      <c r="J6" s="224">
        <f t="shared" si="4"/>
        <v>0</v>
      </c>
      <c r="K6" s="225">
        <f t="shared" si="4"/>
        <v>0</v>
      </c>
    </row>
    <row r="7" spans="1:11" x14ac:dyDescent="0.35">
      <c r="A7" s="216" t="s">
        <v>143</v>
      </c>
      <c r="B7" s="242">
        <f>Structures!V86</f>
        <v>18.359909007982623</v>
      </c>
      <c r="C7" s="229">
        <f t="shared" ref="C7:K7" si="5">C33*$B7</f>
        <v>0</v>
      </c>
      <c r="D7" s="224">
        <f t="shared" si="5"/>
        <v>0</v>
      </c>
      <c r="E7" s="224">
        <f t="shared" si="5"/>
        <v>0</v>
      </c>
      <c r="F7" s="224">
        <f t="shared" si="5"/>
        <v>0</v>
      </c>
      <c r="G7" s="224">
        <f t="shared" si="5"/>
        <v>0</v>
      </c>
      <c r="H7" s="224">
        <f t="shared" si="5"/>
        <v>0</v>
      </c>
      <c r="I7" s="224">
        <f t="shared" si="5"/>
        <v>0</v>
      </c>
      <c r="J7" s="224">
        <f t="shared" si="5"/>
        <v>0</v>
      </c>
      <c r="K7" s="225">
        <f t="shared" si="5"/>
        <v>0</v>
      </c>
    </row>
    <row r="8" spans="1:11" x14ac:dyDescent="0.35">
      <c r="A8" s="216" t="s">
        <v>144</v>
      </c>
      <c r="B8" s="242">
        <f>Structures!V87</f>
        <v>58.611187837657397</v>
      </c>
      <c r="C8" s="229">
        <f t="shared" ref="C8:K8" si="6">C34*$B8</f>
        <v>0</v>
      </c>
      <c r="D8" s="224">
        <f t="shared" si="6"/>
        <v>0</v>
      </c>
      <c r="E8" s="224">
        <f t="shared" si="6"/>
        <v>0</v>
      </c>
      <c r="F8" s="224">
        <f t="shared" si="6"/>
        <v>0</v>
      </c>
      <c r="G8" s="224">
        <f t="shared" si="6"/>
        <v>0</v>
      </c>
      <c r="H8" s="224">
        <f t="shared" si="6"/>
        <v>0</v>
      </c>
      <c r="I8" s="224">
        <f t="shared" si="6"/>
        <v>0</v>
      </c>
      <c r="J8" s="224">
        <f t="shared" si="6"/>
        <v>0</v>
      </c>
      <c r="K8" s="225">
        <f t="shared" si="6"/>
        <v>0</v>
      </c>
    </row>
    <row r="9" spans="1:11" x14ac:dyDescent="0.35">
      <c r="A9" s="216" t="s">
        <v>145</v>
      </c>
      <c r="B9" s="242">
        <f>Structures!V88</f>
        <v>5630.6924986592594</v>
      </c>
      <c r="C9" s="229">
        <f t="shared" ref="C9:K9" si="7">C35*$B9</f>
        <v>0</v>
      </c>
      <c r="D9" s="224">
        <f t="shared" si="7"/>
        <v>0</v>
      </c>
      <c r="E9" s="224">
        <f t="shared" si="7"/>
        <v>1096295.829488958</v>
      </c>
      <c r="F9" s="224">
        <f t="shared" si="7"/>
        <v>11038691.108996544</v>
      </c>
      <c r="G9" s="224">
        <f t="shared" si="7"/>
        <v>5143074.5282753678</v>
      </c>
      <c r="H9" s="224">
        <f t="shared" si="7"/>
        <v>14170144.435200907</v>
      </c>
      <c r="I9" s="224">
        <f t="shared" si="7"/>
        <v>16256653.847504083</v>
      </c>
      <c r="J9" s="224">
        <f t="shared" si="7"/>
        <v>0</v>
      </c>
      <c r="K9" s="225">
        <f t="shared" si="7"/>
        <v>3482921.151970671</v>
      </c>
    </row>
    <row r="10" spans="1:11" x14ac:dyDescent="0.35">
      <c r="A10" s="216" t="s">
        <v>146</v>
      </c>
      <c r="B10" s="242">
        <f>Structures!V89</f>
        <v>0.11845539969266485</v>
      </c>
      <c r="C10" s="229">
        <f t="shared" ref="C10:K10" si="8">C36*$B10</f>
        <v>0</v>
      </c>
      <c r="D10" s="224">
        <f t="shared" si="8"/>
        <v>0</v>
      </c>
      <c r="E10" s="224">
        <f t="shared" si="8"/>
        <v>0</v>
      </c>
      <c r="F10" s="224">
        <f t="shared" si="8"/>
        <v>0</v>
      </c>
      <c r="G10" s="224">
        <f t="shared" si="8"/>
        <v>0</v>
      </c>
      <c r="H10" s="224">
        <f t="shared" si="8"/>
        <v>0</v>
      </c>
      <c r="I10" s="224">
        <f t="shared" si="8"/>
        <v>0</v>
      </c>
      <c r="J10" s="224">
        <f t="shared" si="8"/>
        <v>0</v>
      </c>
      <c r="K10" s="225">
        <f t="shared" si="8"/>
        <v>0</v>
      </c>
    </row>
    <row r="11" spans="1:11" x14ac:dyDescent="0.35">
      <c r="A11" s="216" t="s">
        <v>147</v>
      </c>
      <c r="B11" s="242">
        <f>Structures!V90</f>
        <v>119470</v>
      </c>
      <c r="C11" s="229">
        <f t="shared" ref="C11:K11" si="9">C37*$B11</f>
        <v>0</v>
      </c>
      <c r="D11" s="224">
        <f t="shared" si="9"/>
        <v>0</v>
      </c>
      <c r="E11" s="224">
        <f t="shared" si="9"/>
        <v>0</v>
      </c>
      <c r="F11" s="224">
        <f t="shared" si="9"/>
        <v>0</v>
      </c>
      <c r="G11" s="224">
        <f t="shared" si="9"/>
        <v>0</v>
      </c>
      <c r="H11" s="224">
        <f t="shared" si="9"/>
        <v>0</v>
      </c>
      <c r="I11" s="224">
        <f t="shared" si="9"/>
        <v>0</v>
      </c>
      <c r="J11" s="224">
        <f t="shared" si="9"/>
        <v>0</v>
      </c>
      <c r="K11" s="225">
        <f t="shared" si="9"/>
        <v>0</v>
      </c>
    </row>
    <row r="12" spans="1:11" x14ac:dyDescent="0.35">
      <c r="A12" s="216" t="s">
        <v>148</v>
      </c>
      <c r="B12" s="242">
        <f>Structures!V91</f>
        <v>2163.6800117528928</v>
      </c>
      <c r="C12" s="229">
        <f t="shared" ref="C12:K12" si="10">C38*$B12</f>
        <v>32173.705406764344</v>
      </c>
      <c r="D12" s="224">
        <f t="shared" si="10"/>
        <v>210505.29381544347</v>
      </c>
      <c r="E12" s="224">
        <f t="shared" si="10"/>
        <v>4385126.3851955663</v>
      </c>
      <c r="F12" s="224">
        <f t="shared" si="10"/>
        <v>2571192.4816304594</v>
      </c>
      <c r="G12" s="224">
        <f t="shared" si="10"/>
        <v>0</v>
      </c>
      <c r="H12" s="224">
        <f t="shared" si="10"/>
        <v>26191.34654226877</v>
      </c>
      <c r="I12" s="224">
        <f t="shared" si="10"/>
        <v>5695.88763093949</v>
      </c>
      <c r="J12" s="224">
        <f t="shared" si="10"/>
        <v>5373690.5785013428</v>
      </c>
      <c r="K12" s="225">
        <f t="shared" si="10"/>
        <v>8646649.5205677319</v>
      </c>
    </row>
    <row r="13" spans="1:11" x14ac:dyDescent="0.35">
      <c r="A13" s="216" t="s">
        <v>149</v>
      </c>
      <c r="B13" s="242">
        <f>Structures!V92</f>
        <v>1600</v>
      </c>
      <c r="C13" s="229">
        <f t="shared" ref="C13:K13" si="11">C39*$B13</f>
        <v>0</v>
      </c>
      <c r="D13" s="224">
        <f t="shared" si="11"/>
        <v>0</v>
      </c>
      <c r="E13" s="224">
        <f t="shared" si="11"/>
        <v>0</v>
      </c>
      <c r="F13" s="224">
        <f t="shared" si="11"/>
        <v>0</v>
      </c>
      <c r="G13" s="224">
        <f t="shared" si="11"/>
        <v>0</v>
      </c>
      <c r="H13" s="224">
        <f t="shared" si="11"/>
        <v>0</v>
      </c>
      <c r="I13" s="224">
        <f t="shared" si="11"/>
        <v>0</v>
      </c>
      <c r="J13" s="224">
        <f t="shared" si="11"/>
        <v>0</v>
      </c>
      <c r="K13" s="225">
        <f t="shared" si="11"/>
        <v>41600</v>
      </c>
    </row>
    <row r="14" spans="1:11" x14ac:dyDescent="0.35">
      <c r="A14" s="216" t="s">
        <v>150</v>
      </c>
      <c r="B14" s="242">
        <f>Structures!V93</f>
        <v>350</v>
      </c>
      <c r="C14" s="229">
        <f t="shared" ref="C14:K14" si="12">C40*$B14</f>
        <v>0</v>
      </c>
      <c r="D14" s="224">
        <f t="shared" si="12"/>
        <v>0</v>
      </c>
      <c r="E14" s="224">
        <f t="shared" si="12"/>
        <v>0</v>
      </c>
      <c r="F14" s="224">
        <f t="shared" si="12"/>
        <v>0</v>
      </c>
      <c r="G14" s="224">
        <f t="shared" si="12"/>
        <v>0</v>
      </c>
      <c r="H14" s="224">
        <f t="shared" si="12"/>
        <v>0</v>
      </c>
      <c r="I14" s="224">
        <f t="shared" si="12"/>
        <v>0</v>
      </c>
      <c r="J14" s="224">
        <f t="shared" si="12"/>
        <v>0</v>
      </c>
      <c r="K14" s="225">
        <f t="shared" si="12"/>
        <v>0</v>
      </c>
    </row>
    <row r="15" spans="1:11" x14ac:dyDescent="0.35">
      <c r="A15" s="216" t="s">
        <v>137</v>
      </c>
      <c r="B15" s="242">
        <f>Structures!V94</f>
        <v>0</v>
      </c>
      <c r="C15" s="229">
        <f t="shared" ref="C15:K15" si="13">C41*$B15</f>
        <v>0</v>
      </c>
      <c r="D15" s="224">
        <f t="shared" si="13"/>
        <v>0</v>
      </c>
      <c r="E15" s="224">
        <f t="shared" si="13"/>
        <v>0</v>
      </c>
      <c r="F15" s="224">
        <f t="shared" si="13"/>
        <v>0</v>
      </c>
      <c r="G15" s="224">
        <f t="shared" si="13"/>
        <v>0</v>
      </c>
      <c r="H15" s="224">
        <f t="shared" si="13"/>
        <v>0</v>
      </c>
      <c r="I15" s="224">
        <f t="shared" si="13"/>
        <v>0</v>
      </c>
      <c r="J15" s="224">
        <f t="shared" si="13"/>
        <v>0</v>
      </c>
      <c r="K15" s="225">
        <f t="shared" si="13"/>
        <v>0</v>
      </c>
    </row>
    <row r="16" spans="1:11" x14ac:dyDescent="0.35">
      <c r="A16" s="216" t="s">
        <v>138</v>
      </c>
      <c r="B16" s="242">
        <f>Structures!V95</f>
        <v>33758.68</v>
      </c>
      <c r="C16" s="229">
        <f t="shared" ref="C16:K16" si="14">C42*$B16</f>
        <v>101276.04000000001</v>
      </c>
      <c r="D16" s="224">
        <f t="shared" si="14"/>
        <v>1755451.36</v>
      </c>
      <c r="E16" s="224">
        <f t="shared" si="14"/>
        <v>4388628.4000000004</v>
      </c>
      <c r="F16" s="224">
        <f t="shared" si="14"/>
        <v>1687934</v>
      </c>
      <c r="G16" s="224">
        <f t="shared" si="14"/>
        <v>1687934</v>
      </c>
      <c r="H16" s="224">
        <f t="shared" si="14"/>
        <v>843967</v>
      </c>
      <c r="I16" s="224">
        <f t="shared" si="14"/>
        <v>3544661.4</v>
      </c>
      <c r="J16" s="224">
        <f t="shared" si="14"/>
        <v>0</v>
      </c>
      <c r="K16" s="225">
        <f t="shared" si="14"/>
        <v>0</v>
      </c>
    </row>
    <row r="17" spans="1:11" x14ac:dyDescent="0.35">
      <c r="A17" s="216" t="s">
        <v>140</v>
      </c>
      <c r="B17" s="242">
        <f>Structures!V96</f>
        <v>177.21339945601611</v>
      </c>
      <c r="C17" s="229">
        <f t="shared" ref="C17:K17" si="15">C43*$B17</f>
        <v>0</v>
      </c>
      <c r="D17" s="224">
        <f t="shared" si="15"/>
        <v>0</v>
      </c>
      <c r="E17" s="224">
        <f t="shared" si="15"/>
        <v>0</v>
      </c>
      <c r="F17" s="224">
        <f t="shared" si="15"/>
        <v>0</v>
      </c>
      <c r="G17" s="224">
        <f t="shared" si="15"/>
        <v>0</v>
      </c>
      <c r="H17" s="224">
        <f t="shared" si="15"/>
        <v>0</v>
      </c>
      <c r="I17" s="224">
        <f t="shared" si="15"/>
        <v>0</v>
      </c>
      <c r="J17" s="224">
        <f t="shared" si="15"/>
        <v>0</v>
      </c>
      <c r="K17" s="225">
        <f t="shared" si="15"/>
        <v>0</v>
      </c>
    </row>
    <row r="18" spans="1:11" x14ac:dyDescent="0.35">
      <c r="A18" s="216" t="s">
        <v>141</v>
      </c>
      <c r="B18" s="242">
        <f>Structures!V97</f>
        <v>303.15219636987786</v>
      </c>
      <c r="C18" s="229">
        <f t="shared" ref="C18:K18" si="16">C44*$B18</f>
        <v>0</v>
      </c>
      <c r="D18" s="224">
        <f t="shared" si="16"/>
        <v>0</v>
      </c>
      <c r="E18" s="224">
        <f t="shared" si="16"/>
        <v>0</v>
      </c>
      <c r="F18" s="224">
        <f t="shared" si="16"/>
        <v>0</v>
      </c>
      <c r="G18" s="224">
        <f t="shared" si="16"/>
        <v>0</v>
      </c>
      <c r="H18" s="224">
        <f t="shared" si="16"/>
        <v>0</v>
      </c>
      <c r="I18" s="224">
        <f t="shared" si="16"/>
        <v>0</v>
      </c>
      <c r="J18" s="224">
        <f t="shared" si="16"/>
        <v>0</v>
      </c>
      <c r="K18" s="225">
        <f t="shared" si="16"/>
        <v>0</v>
      </c>
    </row>
    <row r="19" spans="1:11" x14ac:dyDescent="0.35">
      <c r="A19" s="216" t="s">
        <v>142</v>
      </c>
      <c r="B19" s="242">
        <f>Structures!V98</f>
        <v>59.353363987468661</v>
      </c>
      <c r="C19" s="229">
        <f t="shared" ref="C19:K19" si="17">C45*$B19</f>
        <v>0</v>
      </c>
      <c r="D19" s="224">
        <f t="shared" si="17"/>
        <v>0</v>
      </c>
      <c r="E19" s="224">
        <f t="shared" si="17"/>
        <v>0</v>
      </c>
      <c r="F19" s="224">
        <f t="shared" si="17"/>
        <v>0</v>
      </c>
      <c r="G19" s="224">
        <f t="shared" si="17"/>
        <v>0</v>
      </c>
      <c r="H19" s="224">
        <f t="shared" si="17"/>
        <v>0</v>
      </c>
      <c r="I19" s="224">
        <f t="shared" si="17"/>
        <v>0</v>
      </c>
      <c r="J19" s="224">
        <f t="shared" si="17"/>
        <v>0</v>
      </c>
      <c r="K19" s="225">
        <f t="shared" si="17"/>
        <v>0</v>
      </c>
    </row>
    <row r="20" spans="1:11" x14ac:dyDescent="0.35">
      <c r="A20" s="216" t="s">
        <v>143</v>
      </c>
      <c r="B20" s="242">
        <f>Structures!V99</f>
        <v>287</v>
      </c>
      <c r="C20" s="229">
        <f t="shared" ref="C20:K20" si="18">C46*$B20</f>
        <v>0</v>
      </c>
      <c r="D20" s="224">
        <f t="shared" si="18"/>
        <v>0</v>
      </c>
      <c r="E20" s="224">
        <f t="shared" si="18"/>
        <v>0</v>
      </c>
      <c r="F20" s="224">
        <f t="shared" si="18"/>
        <v>0</v>
      </c>
      <c r="G20" s="224">
        <f t="shared" si="18"/>
        <v>0</v>
      </c>
      <c r="H20" s="224">
        <f t="shared" si="18"/>
        <v>0</v>
      </c>
      <c r="I20" s="224">
        <f t="shared" si="18"/>
        <v>0</v>
      </c>
      <c r="J20" s="224">
        <f t="shared" si="18"/>
        <v>0</v>
      </c>
      <c r="K20" s="225">
        <f t="shared" si="18"/>
        <v>0</v>
      </c>
    </row>
    <row r="21" spans="1:11" x14ac:dyDescent="0.35">
      <c r="A21" s="216" t="s">
        <v>145</v>
      </c>
      <c r="B21" s="242">
        <f>Structures!V100</f>
        <v>6097.6998351874727</v>
      </c>
      <c r="C21" s="229">
        <f t="shared" ref="C21:K21" si="19">C47*$B21</f>
        <v>2363468.4561186642</v>
      </c>
      <c r="D21" s="224">
        <f t="shared" si="19"/>
        <v>1097585.970333745</v>
      </c>
      <c r="E21" s="224">
        <f t="shared" si="19"/>
        <v>685381.46147507185</v>
      </c>
      <c r="F21" s="224">
        <f t="shared" si="19"/>
        <v>569525.16460650996</v>
      </c>
      <c r="G21" s="224">
        <f t="shared" si="19"/>
        <v>6956865.7419653879</v>
      </c>
      <c r="H21" s="224">
        <f t="shared" si="19"/>
        <v>6326363.5790070025</v>
      </c>
      <c r="I21" s="224">
        <f t="shared" si="19"/>
        <v>1507961.1692418621</v>
      </c>
      <c r="J21" s="224">
        <f t="shared" si="19"/>
        <v>218297.65409971151</v>
      </c>
      <c r="K21" s="225">
        <f t="shared" si="19"/>
        <v>2125048.3925628341</v>
      </c>
    </row>
    <row r="22" spans="1:11" x14ac:dyDescent="0.35">
      <c r="A22" s="216" t="s">
        <v>148</v>
      </c>
      <c r="B22" s="242">
        <f>Structures!V101</f>
        <v>2258.9997655618131</v>
      </c>
      <c r="C22" s="229">
        <f t="shared" ref="C22:K22" si="20">C48*$B22</f>
        <v>2612438.1249821065</v>
      </c>
      <c r="D22" s="224">
        <f t="shared" si="20"/>
        <v>2026019.6319404081</v>
      </c>
      <c r="E22" s="224">
        <f t="shared" si="20"/>
        <v>0</v>
      </c>
      <c r="F22" s="224">
        <f t="shared" si="20"/>
        <v>0</v>
      </c>
      <c r="G22" s="224">
        <f t="shared" si="20"/>
        <v>0</v>
      </c>
      <c r="H22" s="224">
        <f t="shared" si="20"/>
        <v>0</v>
      </c>
      <c r="I22" s="224">
        <f t="shared" si="20"/>
        <v>0</v>
      </c>
      <c r="J22" s="224">
        <f t="shared" si="20"/>
        <v>5460729.6053874325</v>
      </c>
      <c r="K22" s="225">
        <f t="shared" si="20"/>
        <v>3272496.8477814482</v>
      </c>
    </row>
    <row r="23" spans="1:11" x14ac:dyDescent="0.35">
      <c r="A23" s="216" t="s">
        <v>149</v>
      </c>
      <c r="B23" s="242">
        <f>Structures!V102</f>
        <v>1600.0000000000002</v>
      </c>
      <c r="C23" s="229">
        <f t="shared" ref="C23:K23" si="21">C49*$B23</f>
        <v>0</v>
      </c>
      <c r="D23" s="224">
        <f t="shared" si="21"/>
        <v>0</v>
      </c>
      <c r="E23" s="224">
        <f t="shared" si="21"/>
        <v>0</v>
      </c>
      <c r="F23" s="224">
        <f t="shared" si="21"/>
        <v>0</v>
      </c>
      <c r="G23" s="224">
        <f t="shared" si="21"/>
        <v>0</v>
      </c>
      <c r="H23" s="224">
        <f t="shared" si="21"/>
        <v>0</v>
      </c>
      <c r="I23" s="224">
        <f t="shared" si="21"/>
        <v>0</v>
      </c>
      <c r="J23" s="224">
        <f t="shared" si="21"/>
        <v>0</v>
      </c>
      <c r="K23" s="225">
        <f t="shared" si="21"/>
        <v>0</v>
      </c>
    </row>
    <row r="24" spans="1:11" ht="15" thickBot="1" x14ac:dyDescent="0.4">
      <c r="A24" s="215" t="s">
        <v>150</v>
      </c>
      <c r="B24" s="243">
        <f>Structures!V103</f>
        <v>350</v>
      </c>
      <c r="C24" s="230">
        <f t="shared" ref="C24:K24" si="22">C50*$B24</f>
        <v>0</v>
      </c>
      <c r="D24" s="226">
        <f t="shared" si="22"/>
        <v>0</v>
      </c>
      <c r="E24" s="226">
        <f t="shared" si="22"/>
        <v>0</v>
      </c>
      <c r="F24" s="226">
        <f t="shared" si="22"/>
        <v>0</v>
      </c>
      <c r="G24" s="226">
        <f t="shared" si="22"/>
        <v>0</v>
      </c>
      <c r="H24" s="226">
        <f t="shared" si="22"/>
        <v>0</v>
      </c>
      <c r="I24" s="226">
        <f t="shared" si="22"/>
        <v>217035</v>
      </c>
      <c r="J24" s="226">
        <f t="shared" si="22"/>
        <v>0</v>
      </c>
      <c r="K24" s="227">
        <f t="shared" si="22"/>
        <v>0</v>
      </c>
    </row>
    <row r="25" spans="1:11" ht="15" thickBot="1" x14ac:dyDescent="0.4">
      <c r="C25" s="231">
        <f t="shared" ref="C25:K25" si="23">SUM(C2:C24)</f>
        <v>5109356.3265075348</v>
      </c>
      <c r="D25" s="232">
        <f t="shared" si="23"/>
        <v>5447758.783449214</v>
      </c>
      <c r="E25" s="232">
        <f t="shared" si="23"/>
        <v>11207515.452559443</v>
      </c>
      <c r="F25" s="232">
        <f t="shared" si="23"/>
        <v>19541005.805219527</v>
      </c>
      <c r="G25" s="232">
        <f t="shared" si="23"/>
        <v>15823081.812056765</v>
      </c>
      <c r="H25" s="232">
        <f t="shared" si="23"/>
        <v>22274924.909258395</v>
      </c>
      <c r="I25" s="232">
        <f t="shared" si="23"/>
        <v>22237366.309539281</v>
      </c>
      <c r="J25" s="232">
        <f t="shared" si="23"/>
        <v>11052717.837988487</v>
      </c>
      <c r="K25" s="233">
        <f t="shared" si="23"/>
        <v>17952376.167594813</v>
      </c>
    </row>
    <row r="27" spans="1:11" ht="15" thickBot="1" x14ac:dyDescent="0.4">
      <c r="C27" s="91" t="s">
        <v>214</v>
      </c>
      <c r="D27" s="91" t="s">
        <v>215</v>
      </c>
      <c r="E27" s="91" t="s">
        <v>216</v>
      </c>
      <c r="F27" s="91" t="s">
        <v>217</v>
      </c>
      <c r="G27" s="91" t="s">
        <v>218</v>
      </c>
      <c r="H27" s="91" t="s">
        <v>219</v>
      </c>
      <c r="I27" s="91" t="s">
        <v>220</v>
      </c>
      <c r="J27" s="91" t="s">
        <v>221</v>
      </c>
      <c r="K27" s="91" t="s">
        <v>222</v>
      </c>
    </row>
    <row r="28" spans="1:11" x14ac:dyDescent="0.35">
      <c r="A28" s="238" t="s">
        <v>137</v>
      </c>
      <c r="B28" s="238" t="s">
        <v>23</v>
      </c>
      <c r="C28" s="516">
        <v>0</v>
      </c>
      <c r="D28" s="516">
        <v>0</v>
      </c>
      <c r="E28" s="516">
        <v>0</v>
      </c>
      <c r="F28" s="516">
        <v>0</v>
      </c>
      <c r="G28" s="516">
        <v>0</v>
      </c>
      <c r="H28" s="516">
        <v>0</v>
      </c>
      <c r="I28" s="516">
        <v>0</v>
      </c>
      <c r="J28" s="516">
        <v>0</v>
      </c>
      <c r="K28" s="517">
        <v>77.56</v>
      </c>
    </row>
    <row r="29" spans="1:11" x14ac:dyDescent="0.35">
      <c r="A29" s="239" t="s">
        <v>138</v>
      </c>
      <c r="B29" s="239" t="s">
        <v>139</v>
      </c>
      <c r="C29" s="234">
        <v>0</v>
      </c>
      <c r="D29" s="234">
        <v>22</v>
      </c>
      <c r="E29" s="234">
        <v>24</v>
      </c>
      <c r="F29" s="234">
        <v>221</v>
      </c>
      <c r="G29" s="234">
        <v>125</v>
      </c>
      <c r="H29" s="234">
        <v>39</v>
      </c>
      <c r="I29" s="234">
        <v>43</v>
      </c>
      <c r="J29" s="234">
        <v>0</v>
      </c>
      <c r="K29" s="235">
        <v>0</v>
      </c>
    </row>
    <row r="30" spans="1:11" x14ac:dyDescent="0.35">
      <c r="A30" s="239" t="s">
        <v>140</v>
      </c>
      <c r="B30" s="239" t="s">
        <v>22</v>
      </c>
      <c r="C30" s="234"/>
      <c r="D30" s="234"/>
      <c r="E30" s="234"/>
      <c r="F30" s="234"/>
      <c r="G30" s="234"/>
      <c r="H30" s="234"/>
      <c r="I30" s="234"/>
      <c r="J30" s="234"/>
      <c r="K30" s="235"/>
    </row>
    <row r="31" spans="1:11" x14ac:dyDescent="0.35">
      <c r="A31" s="239" t="s">
        <v>141</v>
      </c>
      <c r="B31" s="239" t="s">
        <v>22</v>
      </c>
      <c r="C31" s="234">
        <v>0</v>
      </c>
      <c r="D31" s="234">
        <v>0</v>
      </c>
      <c r="E31" s="234">
        <v>907.32999999999993</v>
      </c>
      <c r="F31" s="234">
        <v>261.84899999999999</v>
      </c>
      <c r="G31" s="234">
        <v>0</v>
      </c>
      <c r="H31" s="234">
        <v>948.82200000000012</v>
      </c>
      <c r="I31" s="234">
        <v>18.22</v>
      </c>
      <c r="J31" s="234">
        <v>0</v>
      </c>
      <c r="K31" s="235">
        <v>1332.0899999999997</v>
      </c>
    </row>
    <row r="32" spans="1:11" x14ac:dyDescent="0.35">
      <c r="A32" s="239" t="s">
        <v>142</v>
      </c>
      <c r="B32" s="239" t="s">
        <v>22</v>
      </c>
      <c r="C32" s="234"/>
      <c r="D32" s="234"/>
      <c r="E32" s="234"/>
      <c r="F32" s="234"/>
      <c r="G32" s="234"/>
      <c r="H32" s="234"/>
      <c r="I32" s="234"/>
      <c r="J32" s="234"/>
      <c r="K32" s="235"/>
    </row>
    <row r="33" spans="1:13" x14ac:dyDescent="0.35">
      <c r="A33" s="239" t="s">
        <v>143</v>
      </c>
      <c r="B33" s="239" t="s">
        <v>22</v>
      </c>
      <c r="C33" s="234">
        <v>0</v>
      </c>
      <c r="D33" s="234">
        <v>0</v>
      </c>
      <c r="E33" s="234">
        <v>0</v>
      </c>
      <c r="F33" s="234">
        <v>0</v>
      </c>
      <c r="G33" s="234">
        <v>0</v>
      </c>
      <c r="H33" s="234">
        <v>0</v>
      </c>
      <c r="I33" s="234">
        <v>0</v>
      </c>
      <c r="J33" s="234">
        <v>0</v>
      </c>
      <c r="K33" s="235">
        <v>0</v>
      </c>
    </row>
    <row r="34" spans="1:13" x14ac:dyDescent="0.35">
      <c r="A34" s="239" t="s">
        <v>144</v>
      </c>
      <c r="B34" s="239" t="s">
        <v>22</v>
      </c>
      <c r="C34" s="234">
        <v>0</v>
      </c>
      <c r="D34" s="234">
        <v>0</v>
      </c>
      <c r="E34" s="234">
        <v>0</v>
      </c>
      <c r="F34" s="234">
        <v>0</v>
      </c>
      <c r="G34" s="234">
        <v>0</v>
      </c>
      <c r="H34" s="234">
        <v>0</v>
      </c>
      <c r="I34" s="234">
        <v>0</v>
      </c>
      <c r="J34" s="234">
        <v>0</v>
      </c>
      <c r="K34" s="235">
        <v>0</v>
      </c>
    </row>
    <row r="35" spans="1:13" x14ac:dyDescent="0.35">
      <c r="A35" s="239" t="s">
        <v>145</v>
      </c>
      <c r="B35" s="239" t="s">
        <v>22</v>
      </c>
      <c r="C35" s="234">
        <v>0</v>
      </c>
      <c r="D35" s="234">
        <v>0</v>
      </c>
      <c r="E35" s="234">
        <v>194.70000000000002</v>
      </c>
      <c r="F35" s="234">
        <v>1960.4499999999998</v>
      </c>
      <c r="G35" s="234">
        <v>913.4</v>
      </c>
      <c r="H35" s="234">
        <v>2516.59</v>
      </c>
      <c r="I35" s="234">
        <v>2887.1500000000005</v>
      </c>
      <c r="J35" s="234">
        <v>0</v>
      </c>
      <c r="K35" s="235">
        <v>618.55999999999995</v>
      </c>
    </row>
    <row r="36" spans="1:13" x14ac:dyDescent="0.35">
      <c r="A36" s="239" t="s">
        <v>146</v>
      </c>
      <c r="B36" s="239" t="s">
        <v>23</v>
      </c>
      <c r="C36" s="234"/>
      <c r="D36" s="234"/>
      <c r="E36" s="234"/>
      <c r="F36" s="234"/>
      <c r="G36" s="234"/>
      <c r="H36" s="234"/>
      <c r="I36" s="234"/>
      <c r="J36" s="234"/>
      <c r="K36" s="235"/>
    </row>
    <row r="37" spans="1:13" x14ac:dyDescent="0.35">
      <c r="A37" s="239" t="s">
        <v>147</v>
      </c>
      <c r="B37" s="239" t="s">
        <v>22</v>
      </c>
      <c r="C37" s="234"/>
      <c r="D37" s="234"/>
      <c r="E37" s="234"/>
      <c r="F37" s="234"/>
      <c r="G37" s="234"/>
      <c r="H37" s="234"/>
      <c r="I37" s="234"/>
      <c r="J37" s="234"/>
      <c r="K37" s="235"/>
    </row>
    <row r="38" spans="1:13" x14ac:dyDescent="0.35">
      <c r="A38" s="239" t="s">
        <v>148</v>
      </c>
      <c r="B38" s="239" t="s">
        <v>22</v>
      </c>
      <c r="C38" s="234">
        <v>14.869900000000001</v>
      </c>
      <c r="D38" s="234">
        <v>97.29039999999992</v>
      </c>
      <c r="E38" s="234">
        <v>2026.6981999999998</v>
      </c>
      <c r="F38" s="234">
        <v>1188.3422999999998</v>
      </c>
      <c r="G38" s="234">
        <v>0</v>
      </c>
      <c r="H38" s="234">
        <v>12.105</v>
      </c>
      <c r="I38" s="234">
        <v>2.6324999999999998</v>
      </c>
      <c r="J38" s="234">
        <v>2483.5883999999974</v>
      </c>
      <c r="K38" s="235">
        <v>3996.2699999999995</v>
      </c>
    </row>
    <row r="39" spans="1:13" x14ac:dyDescent="0.35">
      <c r="A39" s="239" t="s">
        <v>149</v>
      </c>
      <c r="B39" s="239" t="s">
        <v>22</v>
      </c>
      <c r="C39" s="234">
        <v>0</v>
      </c>
      <c r="D39" s="234">
        <v>0</v>
      </c>
      <c r="E39" s="234">
        <v>0</v>
      </c>
      <c r="F39" s="234">
        <v>0</v>
      </c>
      <c r="G39" s="234">
        <v>0</v>
      </c>
      <c r="H39" s="234">
        <v>0</v>
      </c>
      <c r="I39" s="234">
        <v>0</v>
      </c>
      <c r="J39" s="234">
        <v>0</v>
      </c>
      <c r="K39" s="235">
        <v>26</v>
      </c>
    </row>
    <row r="40" spans="1:13" x14ac:dyDescent="0.35">
      <c r="A40" s="239" t="s">
        <v>150</v>
      </c>
      <c r="B40" s="239" t="s">
        <v>22</v>
      </c>
      <c r="C40" s="234">
        <v>0</v>
      </c>
      <c r="D40" s="234">
        <v>0</v>
      </c>
      <c r="E40" s="234">
        <v>0</v>
      </c>
      <c r="F40" s="234">
        <v>0</v>
      </c>
      <c r="G40" s="234">
        <v>0</v>
      </c>
      <c r="H40" s="234">
        <v>0</v>
      </c>
      <c r="I40" s="234">
        <v>0</v>
      </c>
      <c r="J40" s="234">
        <v>0</v>
      </c>
      <c r="K40" s="235">
        <v>0</v>
      </c>
    </row>
    <row r="41" spans="1:13" x14ac:dyDescent="0.35">
      <c r="A41" s="239" t="s">
        <v>137</v>
      </c>
      <c r="B41" s="239" t="s">
        <v>23</v>
      </c>
      <c r="C41" s="234">
        <v>0</v>
      </c>
      <c r="D41" s="234">
        <v>0</v>
      </c>
      <c r="E41" s="234">
        <v>0</v>
      </c>
      <c r="F41" s="234">
        <v>0</v>
      </c>
      <c r="G41" s="234">
        <v>0</v>
      </c>
      <c r="H41" s="234">
        <v>0</v>
      </c>
      <c r="I41" s="234">
        <v>0</v>
      </c>
      <c r="J41" s="234">
        <v>0</v>
      </c>
      <c r="K41" s="235">
        <v>1049.3534999999999</v>
      </c>
    </row>
    <row r="42" spans="1:13" x14ac:dyDescent="0.35">
      <c r="A42" s="239" t="s">
        <v>138</v>
      </c>
      <c r="B42" s="239" t="s">
        <v>139</v>
      </c>
      <c r="C42" s="355">
        <v>3</v>
      </c>
      <c r="D42" s="355">
        <v>52</v>
      </c>
      <c r="E42" s="356">
        <f>1300/10</f>
        <v>130</v>
      </c>
      <c r="F42" s="356">
        <f>50</f>
        <v>50</v>
      </c>
      <c r="G42" s="356">
        <v>50</v>
      </c>
      <c r="H42" s="356">
        <v>25</v>
      </c>
      <c r="I42" s="356">
        <f>1050/10</f>
        <v>105</v>
      </c>
      <c r="J42" s="355"/>
      <c r="K42" s="357"/>
      <c r="M42">
        <f>SUM(C42:K42)/9</f>
        <v>46.111111111111114</v>
      </c>
    </row>
    <row r="43" spans="1:13" x14ac:dyDescent="0.35">
      <c r="A43" s="239" t="s">
        <v>140</v>
      </c>
      <c r="B43" s="239" t="s">
        <v>22</v>
      </c>
      <c r="C43" s="234"/>
      <c r="D43" s="234"/>
      <c r="E43" s="234"/>
      <c r="F43" s="234"/>
      <c r="G43" s="234"/>
      <c r="H43" s="234"/>
      <c r="I43" s="234"/>
      <c r="J43" s="234"/>
      <c r="K43" s="235"/>
    </row>
    <row r="44" spans="1:13" x14ac:dyDescent="0.35">
      <c r="A44" s="239" t="s">
        <v>141</v>
      </c>
      <c r="B44" s="239" t="s">
        <v>22</v>
      </c>
      <c r="C44" s="234">
        <v>0</v>
      </c>
      <c r="D44" s="234">
        <v>0</v>
      </c>
      <c r="E44" s="234">
        <v>0</v>
      </c>
      <c r="F44" s="234">
        <v>0</v>
      </c>
      <c r="G44" s="234">
        <v>0</v>
      </c>
      <c r="H44" s="234">
        <v>0</v>
      </c>
      <c r="I44" s="234">
        <v>0</v>
      </c>
      <c r="J44" s="234">
        <v>0</v>
      </c>
      <c r="K44" s="235">
        <v>0</v>
      </c>
    </row>
    <row r="45" spans="1:13" x14ac:dyDescent="0.35">
      <c r="A45" s="239" t="s">
        <v>142</v>
      </c>
      <c r="B45" s="239" t="s">
        <v>22</v>
      </c>
      <c r="C45" s="234"/>
      <c r="D45" s="234"/>
      <c r="E45" s="234"/>
      <c r="F45" s="234"/>
      <c r="G45" s="234"/>
      <c r="H45" s="234"/>
      <c r="I45" s="234"/>
      <c r="J45" s="234"/>
      <c r="K45" s="235"/>
    </row>
    <row r="46" spans="1:13" x14ac:dyDescent="0.35">
      <c r="A46" s="239" t="s">
        <v>143</v>
      </c>
      <c r="B46" s="239" t="s">
        <v>22</v>
      </c>
      <c r="C46" s="234">
        <v>0</v>
      </c>
      <c r="D46" s="234">
        <v>0</v>
      </c>
      <c r="E46" s="234">
        <v>0</v>
      </c>
      <c r="F46" s="234">
        <v>0</v>
      </c>
      <c r="G46" s="234">
        <v>0</v>
      </c>
      <c r="H46" s="234">
        <v>0</v>
      </c>
      <c r="I46" s="234">
        <v>0</v>
      </c>
      <c r="J46" s="234">
        <v>0</v>
      </c>
      <c r="K46" s="235">
        <v>0</v>
      </c>
    </row>
    <row r="47" spans="1:13" x14ac:dyDescent="0.35">
      <c r="A47" s="239" t="s">
        <v>145</v>
      </c>
      <c r="B47" s="239" t="s">
        <v>23</v>
      </c>
      <c r="C47" s="234">
        <v>387.59999999999997</v>
      </c>
      <c r="D47" s="234">
        <v>180</v>
      </c>
      <c r="E47" s="234">
        <v>112.39999999999999</v>
      </c>
      <c r="F47" s="234">
        <v>93.4</v>
      </c>
      <c r="G47" s="234">
        <v>1140.9000000000001</v>
      </c>
      <c r="H47" s="234">
        <v>1037.5</v>
      </c>
      <c r="I47" s="234">
        <v>247.3</v>
      </c>
      <c r="J47" s="234">
        <v>35.799999999999997</v>
      </c>
      <c r="K47" s="235">
        <v>348.49999999999994</v>
      </c>
    </row>
    <row r="48" spans="1:13" x14ac:dyDescent="0.35">
      <c r="A48" s="239" t="s">
        <v>148</v>
      </c>
      <c r="B48" s="239" t="s">
        <v>22</v>
      </c>
      <c r="C48" s="234">
        <v>1156.4578999999999</v>
      </c>
      <c r="D48" s="234">
        <v>896.86580000000004</v>
      </c>
      <c r="E48" s="234">
        <v>0</v>
      </c>
      <c r="F48" s="234">
        <v>0</v>
      </c>
      <c r="G48" s="234">
        <v>0</v>
      </c>
      <c r="H48" s="234">
        <v>0</v>
      </c>
      <c r="I48" s="234">
        <v>0</v>
      </c>
      <c r="J48" s="234">
        <v>2417.3218999999981</v>
      </c>
      <c r="K48" s="235">
        <v>1448.6485999999998</v>
      </c>
    </row>
    <row r="49" spans="1:11" x14ac:dyDescent="0.35">
      <c r="A49" s="239" t="s">
        <v>149</v>
      </c>
      <c r="B49" s="239" t="s">
        <v>22</v>
      </c>
      <c r="C49" s="234">
        <v>0</v>
      </c>
      <c r="D49" s="234">
        <v>0</v>
      </c>
      <c r="E49" s="234">
        <v>0</v>
      </c>
      <c r="F49" s="234">
        <v>0</v>
      </c>
      <c r="G49" s="234">
        <v>0</v>
      </c>
      <c r="H49" s="234">
        <v>0</v>
      </c>
      <c r="I49" s="234">
        <v>0</v>
      </c>
      <c r="J49" s="234">
        <v>0</v>
      </c>
      <c r="K49" s="235">
        <v>0</v>
      </c>
    </row>
    <row r="50" spans="1:11" ht="15" thickBot="1" x14ac:dyDescent="0.4">
      <c r="A50" s="240" t="s">
        <v>150</v>
      </c>
      <c r="B50" s="240" t="s">
        <v>22</v>
      </c>
      <c r="C50" s="236">
        <v>0</v>
      </c>
      <c r="D50" s="236">
        <v>0</v>
      </c>
      <c r="E50" s="236">
        <v>0</v>
      </c>
      <c r="F50" s="236">
        <v>0</v>
      </c>
      <c r="G50" s="236">
        <v>0</v>
      </c>
      <c r="H50" s="236">
        <v>0</v>
      </c>
      <c r="I50" s="236">
        <v>620.1</v>
      </c>
      <c r="J50" s="236">
        <v>0</v>
      </c>
      <c r="K50" s="237">
        <v>0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3791-91B9-4D0C-8681-8A52142628BE}">
  <dimension ref="A2:AG62"/>
  <sheetViews>
    <sheetView topLeftCell="D1" zoomScale="90" zoomScaleNormal="90" workbookViewId="0">
      <selection activeCell="H17" sqref="H17"/>
    </sheetView>
  </sheetViews>
  <sheetFormatPr defaultRowHeight="14.5" x14ac:dyDescent="0.35"/>
  <cols>
    <col min="1" max="1" width="26.6328125" customWidth="1"/>
    <col min="2" max="2" width="14.1796875" customWidth="1"/>
    <col min="3" max="22" width="15.6328125" customWidth="1"/>
    <col min="23" max="31" width="15.36328125" bestFit="1" customWidth="1"/>
    <col min="32" max="32" width="17.1796875" customWidth="1"/>
    <col min="33" max="33" width="11.54296875" bestFit="1" customWidth="1"/>
  </cols>
  <sheetData>
    <row r="2" spans="1:32" ht="15" thickBot="1" x14ac:dyDescent="0.4"/>
    <row r="3" spans="1:32" ht="15" thickBot="1" x14ac:dyDescent="0.4">
      <c r="A3" s="281" t="s">
        <v>330</v>
      </c>
      <c r="B3" s="280" t="s">
        <v>329</v>
      </c>
      <c r="C3" s="279" t="s">
        <v>328</v>
      </c>
      <c r="D3" s="279" t="s">
        <v>327</v>
      </c>
      <c r="E3" s="279" t="s">
        <v>326</v>
      </c>
      <c r="F3" s="279" t="s">
        <v>325</v>
      </c>
      <c r="G3" s="279" t="s">
        <v>324</v>
      </c>
      <c r="H3" s="279" t="s">
        <v>323</v>
      </c>
      <c r="I3" s="279" t="s">
        <v>322</v>
      </c>
      <c r="J3" s="279" t="s">
        <v>321</v>
      </c>
      <c r="K3" s="279" t="s">
        <v>320</v>
      </c>
      <c r="L3" s="279" t="s">
        <v>319</v>
      </c>
      <c r="M3" s="279" t="s">
        <v>318</v>
      </c>
      <c r="N3" s="279" t="s">
        <v>317</v>
      </c>
      <c r="O3" s="279" t="s">
        <v>316</v>
      </c>
      <c r="P3" s="279" t="s">
        <v>315</v>
      </c>
      <c r="Q3" s="279" t="s">
        <v>314</v>
      </c>
      <c r="R3" s="279" t="s">
        <v>313</v>
      </c>
      <c r="S3" s="279" t="s">
        <v>312</v>
      </c>
      <c r="T3" s="279" t="s">
        <v>311</v>
      </c>
      <c r="U3" s="279" t="s">
        <v>310</v>
      </c>
      <c r="V3" s="278" t="s">
        <v>309</v>
      </c>
      <c r="W3" s="278" t="s">
        <v>331</v>
      </c>
      <c r="X3" s="278" t="s">
        <v>332</v>
      </c>
      <c r="Y3" s="278" t="s">
        <v>333</v>
      </c>
      <c r="Z3" s="278" t="s">
        <v>334</v>
      </c>
      <c r="AA3" s="278" t="s">
        <v>335</v>
      </c>
      <c r="AB3" s="278" t="s">
        <v>336</v>
      </c>
      <c r="AC3" s="278" t="s">
        <v>337</v>
      </c>
      <c r="AD3" s="278" t="s">
        <v>338</v>
      </c>
      <c r="AE3" s="278" t="s">
        <v>339</v>
      </c>
      <c r="AF3" s="278" t="s">
        <v>340</v>
      </c>
    </row>
    <row r="4" spans="1:32" x14ac:dyDescent="0.35">
      <c r="A4" s="289" t="s">
        <v>127</v>
      </c>
      <c r="B4" s="294" t="s">
        <v>5</v>
      </c>
      <c r="C4" s="277">
        <v>6294</v>
      </c>
      <c r="D4" s="276">
        <v>380.23599999999988</v>
      </c>
      <c r="E4" s="276">
        <v>2219.8209999999999</v>
      </c>
      <c r="F4" s="276">
        <v>676.04099999999994</v>
      </c>
      <c r="G4" s="275">
        <v>230.0329999999999</v>
      </c>
      <c r="H4" s="274">
        <v>0</v>
      </c>
      <c r="I4" s="274">
        <v>0</v>
      </c>
      <c r="J4" s="274">
        <v>0</v>
      </c>
      <c r="K4" s="274">
        <v>0</v>
      </c>
      <c r="L4" s="274">
        <v>0</v>
      </c>
      <c r="M4" s="274">
        <v>0</v>
      </c>
      <c r="N4" s="274">
        <v>0</v>
      </c>
      <c r="O4" s="274">
        <v>0</v>
      </c>
      <c r="P4" s="274">
        <v>0</v>
      </c>
      <c r="Q4" s="274">
        <v>0</v>
      </c>
      <c r="R4" s="274">
        <v>0</v>
      </c>
      <c r="S4" s="274">
        <v>0</v>
      </c>
      <c r="T4" s="274">
        <v>0</v>
      </c>
      <c r="U4" s="274">
        <v>0</v>
      </c>
      <c r="V4" s="273">
        <v>0</v>
      </c>
      <c r="W4" s="286">
        <f>W51</f>
        <v>76466.293483205271</v>
      </c>
      <c r="X4" s="286">
        <f t="shared" ref="X4:AE4" si="0">X51</f>
        <v>48971.828210774125</v>
      </c>
      <c r="Y4" s="286">
        <f t="shared" si="0"/>
        <v>43965.867469285491</v>
      </c>
      <c r="Z4" s="286">
        <f t="shared" si="0"/>
        <v>42722.107887329759</v>
      </c>
      <c r="AA4" s="286">
        <f t="shared" si="0"/>
        <v>35849.297168163423</v>
      </c>
      <c r="AB4" s="286">
        <f t="shared" si="0"/>
        <v>35450.929546832871</v>
      </c>
      <c r="AC4" s="286">
        <f t="shared" si="0"/>
        <v>19611.953407641322</v>
      </c>
      <c r="AD4" s="286">
        <f t="shared" si="0"/>
        <v>229.31040999211297</v>
      </c>
      <c r="AE4" s="286">
        <f t="shared" si="0"/>
        <v>306.78527651382694</v>
      </c>
      <c r="AF4" s="283"/>
    </row>
    <row r="5" spans="1:32" x14ac:dyDescent="0.35">
      <c r="A5" s="290" t="s">
        <v>6</v>
      </c>
      <c r="B5" s="287" t="s">
        <v>5</v>
      </c>
      <c r="C5" s="272">
        <v>54850</v>
      </c>
      <c r="D5" s="271">
        <v>92711.322000000146</v>
      </c>
      <c r="E5" s="271">
        <v>114030.19999999987</v>
      </c>
      <c r="F5" s="271">
        <v>71883.571999999986</v>
      </c>
      <c r="G5" s="270">
        <v>141611.16499999983</v>
      </c>
      <c r="H5" s="269">
        <v>43888.25700000002</v>
      </c>
      <c r="I5" s="269">
        <v>165547.12300000008</v>
      </c>
      <c r="J5" s="269">
        <v>141055.3629999999</v>
      </c>
      <c r="K5" s="269">
        <v>375700.8109999997</v>
      </c>
      <c r="L5" s="269">
        <v>165128.4736049996</v>
      </c>
      <c r="M5" s="269">
        <v>176735.68860499968</v>
      </c>
      <c r="N5" s="269">
        <v>103039.95599999989</v>
      </c>
      <c r="O5" s="269">
        <v>153036.39799999961</v>
      </c>
      <c r="P5" s="269">
        <v>190370.8966049992</v>
      </c>
      <c r="Q5" s="269">
        <v>157004.41960499971</v>
      </c>
      <c r="R5" s="269">
        <v>65532.573605000005</v>
      </c>
      <c r="S5" s="269">
        <v>97272.051605000044</v>
      </c>
      <c r="T5" s="269">
        <v>69503.827604999911</v>
      </c>
      <c r="U5" s="269">
        <v>100558.29299999993</v>
      </c>
      <c r="V5" s="268">
        <v>38633.316605</v>
      </c>
      <c r="W5" s="286">
        <f t="shared" ref="W5:AE15" si="1">W52</f>
        <v>184062.67364072148</v>
      </c>
      <c r="X5" s="286">
        <f t="shared" si="1"/>
        <v>134670.10291675184</v>
      </c>
      <c r="Y5" s="286">
        <f t="shared" si="1"/>
        <v>140833.98503262745</v>
      </c>
      <c r="Z5" s="286">
        <f t="shared" si="1"/>
        <v>121141.17473937962</v>
      </c>
      <c r="AA5" s="286">
        <f t="shared" si="1"/>
        <v>106682.95643108388</v>
      </c>
      <c r="AB5" s="286">
        <f t="shared" si="1"/>
        <v>101758.28693481212</v>
      </c>
      <c r="AC5" s="286">
        <f t="shared" si="1"/>
        <v>41354.622581980024</v>
      </c>
      <c r="AD5" s="286">
        <f t="shared" si="1"/>
        <v>2072.2752136256936</v>
      </c>
      <c r="AE5" s="286">
        <f t="shared" si="1"/>
        <v>229.65574890484427</v>
      </c>
      <c r="AF5" s="283"/>
    </row>
    <row r="6" spans="1:32" x14ac:dyDescent="0.35">
      <c r="A6" s="291" t="s">
        <v>7</v>
      </c>
      <c r="B6" s="288" t="s">
        <v>5</v>
      </c>
      <c r="C6" s="272">
        <v>19752</v>
      </c>
      <c r="D6" s="271">
        <v>24342.095000000012</v>
      </c>
      <c r="E6" s="271">
        <v>28787.893999999997</v>
      </c>
      <c r="F6" s="271">
        <v>41817.713000000018</v>
      </c>
      <c r="G6" s="270">
        <v>28706.470000000005</v>
      </c>
      <c r="H6" s="269">
        <v>322.48199999999997</v>
      </c>
      <c r="I6" s="269">
        <v>719.39900000000011</v>
      </c>
      <c r="J6" s="269">
        <v>1195.1890000000003</v>
      </c>
      <c r="K6" s="269">
        <v>2894.7570000000005</v>
      </c>
      <c r="L6" s="269">
        <v>1057.6551235714285</v>
      </c>
      <c r="M6" s="269">
        <v>1057.6551235714285</v>
      </c>
      <c r="N6" s="269">
        <v>100.80800000000011</v>
      </c>
      <c r="O6" s="269">
        <v>10.617000000000004</v>
      </c>
      <c r="P6" s="269">
        <v>1057.6551235714285</v>
      </c>
      <c r="Q6" s="269">
        <v>1057.6551235714285</v>
      </c>
      <c r="R6" s="269">
        <v>1057.6551235714285</v>
      </c>
      <c r="S6" s="269">
        <v>1057.6551235714285</v>
      </c>
      <c r="T6" s="269">
        <v>1057.6551235714285</v>
      </c>
      <c r="U6" s="269">
        <v>83.345000000000027</v>
      </c>
      <c r="V6" s="268">
        <v>1057.6551235714285</v>
      </c>
      <c r="W6" s="286">
        <f t="shared" si="1"/>
        <v>26955.02900750942</v>
      </c>
      <c r="X6" s="286">
        <f t="shared" si="1"/>
        <v>16453.621079947698</v>
      </c>
      <c r="Y6" s="286">
        <f t="shared" si="1"/>
        <v>18611.38839480911</v>
      </c>
      <c r="Z6" s="286">
        <f t="shared" si="1"/>
        <v>12518.206363406671</v>
      </c>
      <c r="AA6" s="286">
        <f t="shared" si="1"/>
        <v>11635.345898169924</v>
      </c>
      <c r="AB6" s="286">
        <f t="shared" si="1"/>
        <v>9768.0201202124808</v>
      </c>
      <c r="AC6" s="286">
        <f t="shared" si="1"/>
        <v>10158.324461640623</v>
      </c>
      <c r="AD6" s="286">
        <f t="shared" si="1"/>
        <v>8509.7839310350555</v>
      </c>
      <c r="AE6" s="286">
        <f t="shared" si="1"/>
        <v>9010.1746436438189</v>
      </c>
      <c r="AF6" s="283"/>
    </row>
    <row r="7" spans="1:32" x14ac:dyDescent="0.35">
      <c r="A7" s="290" t="s">
        <v>128</v>
      </c>
      <c r="B7" s="287" t="s">
        <v>5</v>
      </c>
      <c r="C7" s="272">
        <v>0</v>
      </c>
      <c r="D7" s="271">
        <v>20771.340999999993</v>
      </c>
      <c r="E7" s="271">
        <v>21211.416999999998</v>
      </c>
      <c r="F7" s="271">
        <v>14708.113000000001</v>
      </c>
      <c r="G7" s="270">
        <v>11865.663000000002</v>
      </c>
      <c r="H7" s="269">
        <v>124601.25000000003</v>
      </c>
      <c r="I7" s="269">
        <v>122034.53300000002</v>
      </c>
      <c r="J7" s="269">
        <v>59879.741999999984</v>
      </c>
      <c r="K7" s="269">
        <v>104428.76299999995</v>
      </c>
      <c r="L7" s="269">
        <v>20238.089000000011</v>
      </c>
      <c r="M7" s="269">
        <v>18366.261999999999</v>
      </c>
      <c r="N7" s="269">
        <v>1852.567</v>
      </c>
      <c r="O7" s="269">
        <v>5862.9279999999981</v>
      </c>
      <c r="P7" s="269">
        <v>5821.2290000000003</v>
      </c>
      <c r="Q7" s="269">
        <v>1871.1859999999997</v>
      </c>
      <c r="R7" s="269">
        <v>35.892999999999972</v>
      </c>
      <c r="S7" s="269">
        <v>10083.837000000001</v>
      </c>
      <c r="T7" s="269">
        <v>32487.786999999971</v>
      </c>
      <c r="U7" s="269">
        <v>59172.881000000089</v>
      </c>
      <c r="V7" s="268">
        <v>6888.23</v>
      </c>
      <c r="W7" s="286">
        <f t="shared" si="1"/>
        <v>27509.881999999954</v>
      </c>
      <c r="X7" s="286">
        <f t="shared" si="1"/>
        <v>21217.416999999987</v>
      </c>
      <c r="Y7" s="286">
        <f t="shared" si="1"/>
        <v>649.65499999999986</v>
      </c>
      <c r="Z7" s="286">
        <f t="shared" si="1"/>
        <v>813.57899999999972</v>
      </c>
      <c r="AA7" s="286">
        <f t="shared" si="1"/>
        <v>0</v>
      </c>
      <c r="AB7" s="286">
        <f t="shared" si="1"/>
        <v>9497.7870000000057</v>
      </c>
      <c r="AC7" s="286">
        <f t="shared" si="1"/>
        <v>799.70699999999977</v>
      </c>
      <c r="AD7" s="286">
        <f t="shared" si="1"/>
        <v>0</v>
      </c>
      <c r="AE7" s="286">
        <f t="shared" si="1"/>
        <v>100.25799999999992</v>
      </c>
    </row>
    <row r="8" spans="1:32" x14ac:dyDescent="0.35">
      <c r="A8" s="291" t="s">
        <v>129</v>
      </c>
      <c r="B8" s="288" t="s">
        <v>5</v>
      </c>
      <c r="C8" s="272">
        <v>0</v>
      </c>
      <c r="D8" s="271">
        <v>2943.3430000000008</v>
      </c>
      <c r="E8" s="271">
        <v>3316.85</v>
      </c>
      <c r="F8" s="271">
        <v>5877.139000000001</v>
      </c>
      <c r="G8" s="270">
        <v>1479.6640000000002</v>
      </c>
      <c r="H8" s="269">
        <v>45.143999999999949</v>
      </c>
      <c r="I8" s="269">
        <v>19.34699999999998</v>
      </c>
      <c r="J8" s="269">
        <v>68.437999999999988</v>
      </c>
      <c r="K8" s="269">
        <v>273.69299999999998</v>
      </c>
      <c r="L8" s="269">
        <v>0</v>
      </c>
      <c r="M8" s="269">
        <v>0</v>
      </c>
      <c r="N8" s="269">
        <v>0</v>
      </c>
      <c r="O8" s="269">
        <v>0</v>
      </c>
      <c r="P8" s="269">
        <v>0</v>
      </c>
      <c r="Q8" s="269">
        <v>0</v>
      </c>
      <c r="R8" s="269">
        <v>0</v>
      </c>
      <c r="S8" s="269">
        <v>0</v>
      </c>
      <c r="T8" s="269">
        <v>0</v>
      </c>
      <c r="U8" s="269">
        <v>0</v>
      </c>
      <c r="V8" s="268">
        <v>0</v>
      </c>
      <c r="W8" s="286">
        <f t="shared" si="1"/>
        <v>7215.5639999999985</v>
      </c>
      <c r="X8" s="286">
        <f t="shared" si="1"/>
        <v>6961.9129999999996</v>
      </c>
      <c r="Y8" s="286">
        <f t="shared" si="1"/>
        <v>9324.0399999999972</v>
      </c>
      <c r="Z8" s="286">
        <f t="shared" si="1"/>
        <v>1256.5079999999996</v>
      </c>
      <c r="AA8" s="286">
        <f t="shared" si="1"/>
        <v>1897.5749999999996</v>
      </c>
      <c r="AB8" s="286">
        <f t="shared" si="1"/>
        <v>1199.163</v>
      </c>
      <c r="AC8" s="286">
        <f t="shared" si="1"/>
        <v>761.89999999999975</v>
      </c>
      <c r="AD8" s="286">
        <f t="shared" si="1"/>
        <v>0</v>
      </c>
      <c r="AE8" s="286">
        <f t="shared" si="1"/>
        <v>600.97899999999993</v>
      </c>
    </row>
    <row r="9" spans="1:32" x14ac:dyDescent="0.35">
      <c r="A9" s="291" t="s">
        <v>130</v>
      </c>
      <c r="B9" s="288" t="s">
        <v>5</v>
      </c>
      <c r="C9" s="272">
        <v>0</v>
      </c>
      <c r="D9" s="271">
        <v>0</v>
      </c>
      <c r="E9" s="271">
        <v>0</v>
      </c>
      <c r="F9" s="271">
        <v>0</v>
      </c>
      <c r="G9" s="270">
        <v>0</v>
      </c>
      <c r="H9" s="269">
        <v>16668.230500000001</v>
      </c>
      <c r="I9" s="269">
        <v>16668.230500000001</v>
      </c>
      <c r="J9" s="269">
        <v>16706.1155</v>
      </c>
      <c r="K9" s="269">
        <v>16668.230500000001</v>
      </c>
      <c r="L9" s="269">
        <v>16680.8475</v>
      </c>
      <c r="M9" s="269">
        <v>16684.529500000001</v>
      </c>
      <c r="N9" s="269">
        <v>16768.622500000001</v>
      </c>
      <c r="O9" s="269">
        <v>16676.424500000001</v>
      </c>
      <c r="P9" s="269">
        <v>16712.5785</v>
      </c>
      <c r="Q9" s="269">
        <v>16684.094499999999</v>
      </c>
      <c r="R9" s="269">
        <v>16683.480500000001</v>
      </c>
      <c r="S9" s="269">
        <v>16695.817500000001</v>
      </c>
      <c r="T9" s="269">
        <v>16670.230500000001</v>
      </c>
      <c r="U9" s="269">
        <v>16686.212500000001</v>
      </c>
      <c r="V9" s="268">
        <v>16669.124500000002</v>
      </c>
      <c r="W9" s="286">
        <f t="shared" si="1"/>
        <v>17352.961000000007</v>
      </c>
      <c r="X9" s="286">
        <f t="shared" si="1"/>
        <v>25492.732000000011</v>
      </c>
      <c r="Y9" s="286">
        <f t="shared" si="1"/>
        <v>13704.843000000015</v>
      </c>
      <c r="Z9" s="286">
        <f t="shared" si="1"/>
        <v>18944.685000000019</v>
      </c>
      <c r="AA9" s="286">
        <f t="shared" si="1"/>
        <v>7783.4369999999972</v>
      </c>
      <c r="AB9" s="286">
        <f t="shared" si="1"/>
        <v>5254.2329999999974</v>
      </c>
      <c r="AC9" s="286">
        <f t="shared" si="1"/>
        <v>4587.2900000000009</v>
      </c>
      <c r="AD9" s="286">
        <f t="shared" si="1"/>
        <v>911.57399999999973</v>
      </c>
      <c r="AE9" s="286">
        <f t="shared" si="1"/>
        <v>15.152999999999906</v>
      </c>
    </row>
    <row r="10" spans="1:32" x14ac:dyDescent="0.35">
      <c r="A10" s="291" t="s">
        <v>131</v>
      </c>
      <c r="B10" s="288" t="s">
        <v>5</v>
      </c>
      <c r="C10" s="272">
        <v>0</v>
      </c>
      <c r="D10" s="271">
        <v>0</v>
      </c>
      <c r="E10" s="271">
        <v>0</v>
      </c>
      <c r="F10" s="271">
        <v>0</v>
      </c>
      <c r="G10" s="270">
        <v>0</v>
      </c>
      <c r="H10" s="269">
        <v>16274.409999999996</v>
      </c>
      <c r="I10" s="269">
        <v>2800.9959999999996</v>
      </c>
      <c r="J10" s="269">
        <v>2289.556</v>
      </c>
      <c r="K10" s="269">
        <v>1590.604</v>
      </c>
      <c r="L10" s="269">
        <v>16668.230500000001</v>
      </c>
      <c r="M10" s="269">
        <v>16668.230500000001</v>
      </c>
      <c r="N10" s="269">
        <v>16668.230500000001</v>
      </c>
      <c r="O10" s="269">
        <v>16706.1155</v>
      </c>
      <c r="P10" s="269">
        <v>16668.230500000001</v>
      </c>
      <c r="Q10" s="269">
        <v>16680.8475</v>
      </c>
      <c r="R10" s="269">
        <v>16684.529500000001</v>
      </c>
      <c r="S10" s="269">
        <v>16768.622500000001</v>
      </c>
      <c r="T10" s="269">
        <v>16676.424500000001</v>
      </c>
      <c r="U10" s="269">
        <v>16712.5785</v>
      </c>
      <c r="V10" s="268">
        <v>16684.094499999999</v>
      </c>
      <c r="W10" s="286">
        <f t="shared" si="1"/>
        <v>0</v>
      </c>
      <c r="X10" s="286">
        <f t="shared" si="1"/>
        <v>0</v>
      </c>
      <c r="Y10" s="286">
        <f t="shared" si="1"/>
        <v>0</v>
      </c>
      <c r="Z10" s="286">
        <f t="shared" si="1"/>
        <v>0</v>
      </c>
      <c r="AA10" s="286">
        <f t="shared" si="1"/>
        <v>0</v>
      </c>
      <c r="AB10" s="286">
        <f t="shared" si="1"/>
        <v>0</v>
      </c>
      <c r="AC10" s="286">
        <f t="shared" si="1"/>
        <v>0</v>
      </c>
      <c r="AD10" s="286">
        <f t="shared" si="1"/>
        <v>0</v>
      </c>
      <c r="AE10" s="286">
        <f t="shared" si="1"/>
        <v>0</v>
      </c>
    </row>
    <row r="11" spans="1:32" x14ac:dyDescent="0.35">
      <c r="A11" s="290" t="s">
        <v>132</v>
      </c>
      <c r="B11" s="287" t="s">
        <v>5</v>
      </c>
      <c r="C11" s="272">
        <v>7140</v>
      </c>
      <c r="D11" s="271">
        <v>6274.1730000000007</v>
      </c>
      <c r="E11" s="271">
        <v>8228.5779999999977</v>
      </c>
      <c r="F11" s="271">
        <v>1861.3319999999999</v>
      </c>
      <c r="G11" s="270">
        <v>1964.4470000000001</v>
      </c>
      <c r="H11" s="269">
        <v>7285.8950000000004</v>
      </c>
      <c r="I11" s="269">
        <v>4944.1660000000011</v>
      </c>
      <c r="J11" s="269">
        <v>5705.9619999999977</v>
      </c>
      <c r="K11" s="269">
        <v>7702.0109999999986</v>
      </c>
      <c r="L11" s="269">
        <v>3072.8109999999997</v>
      </c>
      <c r="M11" s="269">
        <v>3205.9150000000009</v>
      </c>
      <c r="N11" s="269">
        <v>6707.2540000000008</v>
      </c>
      <c r="O11" s="269">
        <v>3695.3560000000002</v>
      </c>
      <c r="P11" s="269">
        <v>11825.501999999997</v>
      </c>
      <c r="Q11" s="269">
        <v>6515.9530000000004</v>
      </c>
      <c r="R11" s="269">
        <v>523.54900000000009</v>
      </c>
      <c r="S11" s="269">
        <v>3549.9049999999993</v>
      </c>
      <c r="T11" s="269">
        <v>3398.4269999999997</v>
      </c>
      <c r="U11" s="269">
        <v>17282.576999999994</v>
      </c>
      <c r="V11" s="268">
        <v>9491.6739999999954</v>
      </c>
      <c r="W11" s="286">
        <f t="shared" si="1"/>
        <v>9068.6359999999968</v>
      </c>
      <c r="X11" s="286">
        <f t="shared" si="1"/>
        <v>2540.9389999999994</v>
      </c>
      <c r="Y11" s="286">
        <f t="shared" si="1"/>
        <v>4074.2320000000013</v>
      </c>
      <c r="Z11" s="286">
        <f t="shared" si="1"/>
        <v>873.27200000000016</v>
      </c>
      <c r="AA11" s="286">
        <f t="shared" si="1"/>
        <v>2326.8249999999998</v>
      </c>
      <c r="AB11" s="286">
        <f t="shared" si="1"/>
        <v>7400.3750000000009</v>
      </c>
      <c r="AC11" s="286">
        <f t="shared" si="1"/>
        <v>5098.3750000000009</v>
      </c>
      <c r="AD11" s="286">
        <f t="shared" si="1"/>
        <v>1796.066</v>
      </c>
      <c r="AE11" s="286">
        <f t="shared" si="1"/>
        <v>115.30699999999996</v>
      </c>
    </row>
    <row r="12" spans="1:32" x14ac:dyDescent="0.35">
      <c r="A12" s="291" t="s">
        <v>133</v>
      </c>
      <c r="B12" s="288" t="s">
        <v>5</v>
      </c>
      <c r="C12" s="272">
        <v>680</v>
      </c>
      <c r="D12" s="271">
        <v>54801.813999999998</v>
      </c>
      <c r="E12" s="271">
        <v>3848.2489999999998</v>
      </c>
      <c r="F12" s="271">
        <v>2473.2479999999996</v>
      </c>
      <c r="G12" s="270">
        <v>2476.9770000000008</v>
      </c>
      <c r="H12" s="269">
        <v>0</v>
      </c>
      <c r="I12" s="269">
        <v>0</v>
      </c>
      <c r="J12" s="269">
        <v>0</v>
      </c>
      <c r="K12" s="269">
        <v>0</v>
      </c>
      <c r="L12" s="269">
        <v>0</v>
      </c>
      <c r="M12" s="269">
        <v>0</v>
      </c>
      <c r="N12" s="269">
        <v>0</v>
      </c>
      <c r="O12" s="269">
        <v>0</v>
      </c>
      <c r="P12" s="269">
        <v>0</v>
      </c>
      <c r="Q12" s="269">
        <v>0</v>
      </c>
      <c r="R12" s="269">
        <v>0</v>
      </c>
      <c r="S12" s="269">
        <v>0</v>
      </c>
      <c r="T12" s="269">
        <v>0</v>
      </c>
      <c r="U12" s="269">
        <v>0</v>
      </c>
      <c r="V12" s="268">
        <v>0</v>
      </c>
      <c r="W12" s="286">
        <f t="shared" si="1"/>
        <v>0</v>
      </c>
      <c r="X12" s="286">
        <f t="shared" si="1"/>
        <v>0</v>
      </c>
      <c r="Y12" s="286">
        <f t="shared" si="1"/>
        <v>0</v>
      </c>
      <c r="Z12" s="286">
        <f t="shared" si="1"/>
        <v>0</v>
      </c>
      <c r="AA12" s="286">
        <f t="shared" si="1"/>
        <v>0</v>
      </c>
      <c r="AB12" s="286">
        <f t="shared" si="1"/>
        <v>0</v>
      </c>
      <c r="AC12" s="286">
        <f t="shared" si="1"/>
        <v>0</v>
      </c>
      <c r="AD12" s="286">
        <f t="shared" si="1"/>
        <v>0</v>
      </c>
      <c r="AE12" s="286">
        <f t="shared" si="1"/>
        <v>0</v>
      </c>
    </row>
    <row r="13" spans="1:32" x14ac:dyDescent="0.35">
      <c r="A13" s="291" t="s">
        <v>8</v>
      </c>
      <c r="B13" s="288" t="s">
        <v>5</v>
      </c>
      <c r="C13" s="272">
        <v>0</v>
      </c>
      <c r="D13" s="271">
        <v>602.98599999999999</v>
      </c>
      <c r="E13" s="271">
        <v>1485.0309999999999</v>
      </c>
      <c r="F13" s="271">
        <v>1250</v>
      </c>
      <c r="G13" s="270">
        <v>1250</v>
      </c>
      <c r="H13" s="269">
        <v>80.02529999999993</v>
      </c>
      <c r="I13" s="269">
        <v>0</v>
      </c>
      <c r="J13" s="269">
        <v>23.626799999999957</v>
      </c>
      <c r="K13" s="269">
        <v>157.73760000000001</v>
      </c>
      <c r="L13" s="269">
        <v>0</v>
      </c>
      <c r="M13" s="269">
        <v>0</v>
      </c>
      <c r="N13" s="269">
        <v>0</v>
      </c>
      <c r="O13" s="269">
        <v>0</v>
      </c>
      <c r="P13" s="269">
        <v>0</v>
      </c>
      <c r="Q13" s="269">
        <v>0</v>
      </c>
      <c r="R13" s="269">
        <v>0</v>
      </c>
      <c r="S13" s="269">
        <v>0</v>
      </c>
      <c r="T13" s="269">
        <v>0</v>
      </c>
      <c r="U13" s="269">
        <v>0</v>
      </c>
      <c r="V13" s="268">
        <v>0</v>
      </c>
      <c r="W13" s="286">
        <f t="shared" si="1"/>
        <v>0</v>
      </c>
      <c r="X13" s="286">
        <f t="shared" si="1"/>
        <v>0</v>
      </c>
      <c r="Y13" s="286">
        <f t="shared" si="1"/>
        <v>0</v>
      </c>
      <c r="Z13" s="286">
        <f t="shared" si="1"/>
        <v>0</v>
      </c>
      <c r="AA13" s="286">
        <f t="shared" si="1"/>
        <v>0</v>
      </c>
      <c r="AB13" s="286">
        <f t="shared" si="1"/>
        <v>0</v>
      </c>
      <c r="AC13" s="286">
        <f t="shared" si="1"/>
        <v>0</v>
      </c>
      <c r="AD13" s="286">
        <f t="shared" si="1"/>
        <v>0</v>
      </c>
      <c r="AE13" s="286">
        <f t="shared" si="1"/>
        <v>0</v>
      </c>
    </row>
    <row r="14" spans="1:32" ht="11" customHeight="1" x14ac:dyDescent="0.35">
      <c r="A14" s="290" t="s">
        <v>134</v>
      </c>
      <c r="B14" s="293" t="s">
        <v>5</v>
      </c>
      <c r="C14" s="272">
        <v>43621</v>
      </c>
      <c r="D14" s="271">
        <v>0</v>
      </c>
      <c r="E14" s="271">
        <v>100.423</v>
      </c>
      <c r="F14" s="271">
        <v>0</v>
      </c>
      <c r="G14" s="270">
        <v>0</v>
      </c>
      <c r="H14" s="269">
        <v>254.7390000000014</v>
      </c>
      <c r="I14" s="269">
        <v>0</v>
      </c>
      <c r="J14" s="269">
        <v>0</v>
      </c>
      <c r="K14" s="269">
        <v>0</v>
      </c>
      <c r="L14" s="269">
        <v>100.54500000001281</v>
      </c>
      <c r="M14" s="269">
        <v>5959.4239999999991</v>
      </c>
      <c r="N14" s="269">
        <v>671.9890000000014</v>
      </c>
      <c r="O14" s="269">
        <v>99.296000000002095</v>
      </c>
      <c r="P14" s="269">
        <v>1348.265000000014</v>
      </c>
      <c r="Q14" s="269">
        <v>0</v>
      </c>
      <c r="R14" s="269">
        <v>0</v>
      </c>
      <c r="S14" s="269">
        <v>99.539000000004307</v>
      </c>
      <c r="T14" s="269">
        <v>6282.3359999999957</v>
      </c>
      <c r="U14" s="269">
        <v>3709.9939999999769</v>
      </c>
      <c r="V14" s="268">
        <v>11145.222999999998</v>
      </c>
      <c r="W14" s="286">
        <f t="shared" si="1"/>
        <v>0</v>
      </c>
      <c r="X14" s="286">
        <f t="shared" si="1"/>
        <v>0</v>
      </c>
      <c r="Y14" s="286">
        <f t="shared" si="1"/>
        <v>0</v>
      </c>
      <c r="Z14" s="286">
        <f t="shared" si="1"/>
        <v>0</v>
      </c>
      <c r="AA14" s="286">
        <f t="shared" si="1"/>
        <v>0</v>
      </c>
      <c r="AB14" s="286">
        <f t="shared" si="1"/>
        <v>0</v>
      </c>
      <c r="AC14" s="286">
        <f t="shared" si="1"/>
        <v>0</v>
      </c>
      <c r="AD14" s="286">
        <f t="shared" si="1"/>
        <v>0</v>
      </c>
      <c r="AE14" s="286">
        <f t="shared" si="1"/>
        <v>0</v>
      </c>
    </row>
    <row r="15" spans="1:32" ht="11" customHeight="1" thickBot="1" x14ac:dyDescent="0.4">
      <c r="A15" s="292" t="s">
        <v>9</v>
      </c>
      <c r="B15" s="295" t="s">
        <v>10</v>
      </c>
      <c r="C15" s="267">
        <v>3</v>
      </c>
      <c r="D15" s="266">
        <v>3</v>
      </c>
      <c r="E15" s="266">
        <v>3</v>
      </c>
      <c r="F15" s="266">
        <v>3</v>
      </c>
      <c r="G15" s="265">
        <v>3</v>
      </c>
      <c r="H15" s="264">
        <v>1</v>
      </c>
      <c r="I15" s="264">
        <v>1</v>
      </c>
      <c r="J15" s="264">
        <v>1</v>
      </c>
      <c r="K15" s="264">
        <v>1</v>
      </c>
      <c r="L15" s="264">
        <v>1</v>
      </c>
      <c r="M15" s="264">
        <v>1</v>
      </c>
      <c r="N15" s="264">
        <v>1</v>
      </c>
      <c r="O15" s="264">
        <v>1</v>
      </c>
      <c r="P15" s="264">
        <v>1</v>
      </c>
      <c r="Q15" s="264">
        <v>1</v>
      </c>
      <c r="R15" s="264">
        <v>1</v>
      </c>
      <c r="S15" s="264">
        <v>1</v>
      </c>
      <c r="T15" s="264">
        <v>1</v>
      </c>
      <c r="U15" s="264">
        <v>1</v>
      </c>
      <c r="V15" s="263">
        <v>1</v>
      </c>
      <c r="W15" s="286">
        <f t="shared" si="1"/>
        <v>1</v>
      </c>
      <c r="X15" s="286">
        <f t="shared" si="1"/>
        <v>1</v>
      </c>
      <c r="Y15" s="286">
        <f t="shared" si="1"/>
        <v>1</v>
      </c>
      <c r="Z15" s="286">
        <f t="shared" si="1"/>
        <v>1</v>
      </c>
      <c r="AA15" s="286">
        <f t="shared" si="1"/>
        <v>1</v>
      </c>
      <c r="AB15" s="286">
        <f t="shared" si="1"/>
        <v>1</v>
      </c>
      <c r="AC15" s="286">
        <f t="shared" si="1"/>
        <v>1</v>
      </c>
      <c r="AD15" s="286">
        <f t="shared" si="1"/>
        <v>1</v>
      </c>
      <c r="AE15" s="286">
        <f t="shared" si="1"/>
        <v>1</v>
      </c>
      <c r="AF15">
        <v>1</v>
      </c>
    </row>
    <row r="16" spans="1:32" ht="15" thickBot="1" x14ac:dyDescent="0.4">
      <c r="W16" s="218" t="s">
        <v>341</v>
      </c>
    </row>
    <row r="17" spans="1:33" ht="15" thickBot="1" x14ac:dyDescent="0.4">
      <c r="A17" s="495" t="s">
        <v>308</v>
      </c>
      <c r="B17" s="496"/>
      <c r="C17" s="262">
        <v>28918895</v>
      </c>
      <c r="D17" s="261">
        <v>22798638</v>
      </c>
      <c r="E17" s="261">
        <v>23220201</v>
      </c>
      <c r="F17" s="261">
        <v>24412120</v>
      </c>
      <c r="G17" s="261">
        <v>28760156</v>
      </c>
      <c r="H17" s="260">
        <v>13628170.942266393</v>
      </c>
      <c r="I17" s="260">
        <v>25617629.04053048</v>
      </c>
      <c r="J17" s="260">
        <v>20102627.598476861</v>
      </c>
      <c r="K17" s="260">
        <v>48289835.714242809</v>
      </c>
      <c r="L17" s="260">
        <v>21777387.322967894</v>
      </c>
      <c r="M17" s="260">
        <v>22999914.59477222</v>
      </c>
      <c r="N17" s="260">
        <v>13976331.297026992</v>
      </c>
      <c r="O17" s="260">
        <v>19707995.651017863</v>
      </c>
      <c r="P17" s="260">
        <v>25002548.984533884</v>
      </c>
      <c r="Q17" s="260">
        <v>20531664.556411993</v>
      </c>
      <c r="R17" s="260">
        <v>9861991.663898658</v>
      </c>
      <c r="S17" s="260">
        <v>14171142.402731948</v>
      </c>
      <c r="T17" s="260">
        <v>11089212.293309849</v>
      </c>
      <c r="U17" s="260">
        <v>16843499.770880193</v>
      </c>
      <c r="V17" s="259">
        <v>7687630.2005491415</v>
      </c>
      <c r="W17" s="282">
        <v>35371826.712329343</v>
      </c>
      <c r="X17" s="282">
        <v>35890063.133383133</v>
      </c>
      <c r="Y17" s="282">
        <v>31078736.733913153</v>
      </c>
      <c r="Z17" s="282">
        <v>32504551.521943592</v>
      </c>
      <c r="AA17" s="282">
        <v>29761837.498019256</v>
      </c>
      <c r="AB17" s="282">
        <v>28875515.489148546</v>
      </c>
      <c r="AC17" s="282">
        <v>23498597.511439428</v>
      </c>
      <c r="AD17" s="282">
        <v>19888216.764559425</v>
      </c>
      <c r="AE17" s="282">
        <v>19025243.382199001</v>
      </c>
    </row>
    <row r="18" spans="1:33" x14ac:dyDescent="0.35">
      <c r="W18" s="62">
        <f>W17-4000000</f>
        <v>31371826.712329343</v>
      </c>
      <c r="X18" s="62">
        <f>X17-4000000</f>
        <v>31890063.133383133</v>
      </c>
      <c r="Y18" s="62">
        <f t="shared" ref="Y18:AE18" si="2">Y17-4000000</f>
        <v>27078736.733913153</v>
      </c>
      <c r="Z18" s="62">
        <f t="shared" si="2"/>
        <v>28504551.521943592</v>
      </c>
      <c r="AA18" s="62">
        <f t="shared" si="2"/>
        <v>25761837.498019256</v>
      </c>
      <c r="AB18" s="62">
        <f t="shared" si="2"/>
        <v>24875515.489148546</v>
      </c>
      <c r="AC18" s="62">
        <f t="shared" si="2"/>
        <v>19498597.511439428</v>
      </c>
      <c r="AD18" s="62">
        <f t="shared" si="2"/>
        <v>15888216.764559425</v>
      </c>
      <c r="AE18" s="62">
        <f t="shared" si="2"/>
        <v>15025243.382199001</v>
      </c>
      <c r="AF18" s="92">
        <f>SUM(W18:AB18)</f>
        <v>169482531.08873704</v>
      </c>
    </row>
    <row r="19" spans="1:33" x14ac:dyDescent="0.35">
      <c r="U19" t="s">
        <v>245</v>
      </c>
      <c r="V19" s="352">
        <f>SUM(W18:AC18)/SUM(W25:AC25)</f>
        <v>116.99172771846938</v>
      </c>
      <c r="W19" s="219">
        <f>W18/W25</f>
        <v>83.74504840472764</v>
      </c>
      <c r="X19" s="219">
        <f t="shared" ref="X19:AD19" si="3">X18/X25</f>
        <v>122.30689685685408</v>
      </c>
      <c r="Y19" s="219">
        <f t="shared" si="3"/>
        <v>102.16131026647135</v>
      </c>
      <c r="Z19" s="219">
        <f t="shared" si="3"/>
        <v>124.02070946506565</v>
      </c>
      <c r="AA19" s="219">
        <f t="shared" si="3"/>
        <v>128.23799813427618</v>
      </c>
      <c r="AB19" s="219">
        <f t="shared" si="3"/>
        <v>129.88380863538404</v>
      </c>
      <c r="AC19" s="219">
        <f t="shared" si="3"/>
        <v>210.38496821663125</v>
      </c>
      <c r="AD19" s="219">
        <f t="shared" si="3"/>
        <v>1127.7879427399484</v>
      </c>
      <c r="AE19" s="219">
        <f>AE18/AE25</f>
        <v>1207.8279635658271</v>
      </c>
    </row>
    <row r="20" spans="1:33" x14ac:dyDescent="0.35">
      <c r="W20" s="309">
        <f>4000000+$V$19*W26</f>
        <v>37633249.39882648</v>
      </c>
      <c r="X20" s="309">
        <f t="shared" ref="X20:AE20" si="4">4000000+$V$19*X26</f>
        <v>27409524.361533534</v>
      </c>
      <c r="Y20" s="309">
        <f t="shared" si="4"/>
        <v>27797432.509865295</v>
      </c>
      <c r="Z20" s="309">
        <f t="shared" si="4"/>
        <v>24635175.134509861</v>
      </c>
      <c r="AA20" s="309">
        <f t="shared" si="4"/>
        <v>22036333.823411871</v>
      </c>
      <c r="AB20" s="309">
        <f t="shared" si="4"/>
        <v>21195120.845337559</v>
      </c>
      <c r="AC20" s="309">
        <f t="shared" si="4"/>
        <v>12321024.987597279</v>
      </c>
      <c r="AD20" s="309">
        <f t="shared" si="4"/>
        <v>5264840.8032016968</v>
      </c>
      <c r="AE20" s="309">
        <f t="shared" si="4"/>
        <v>5116875.060987832</v>
      </c>
      <c r="AF20" s="351"/>
    </row>
    <row r="21" spans="1:33" x14ac:dyDescent="0.35">
      <c r="W21" s="204"/>
      <c r="X21" s="204"/>
      <c r="Y21" s="204"/>
      <c r="Z21" s="204"/>
      <c r="AA21" s="204"/>
      <c r="AB21" s="204"/>
      <c r="AC21" s="204"/>
      <c r="AD21" s="204"/>
      <c r="AE21" s="204"/>
    </row>
    <row r="22" spans="1:33" x14ac:dyDescent="0.35">
      <c r="A22" s="250"/>
      <c r="B22" s="258"/>
      <c r="C22" s="497" t="s">
        <v>307</v>
      </c>
      <c r="D22" s="498"/>
      <c r="E22" s="498"/>
      <c r="F22" s="498"/>
      <c r="G22" s="499"/>
      <c r="W22" s="283">
        <v>99640.760999999897</v>
      </c>
      <c r="X22" s="283">
        <v>63813.609999999921</v>
      </c>
      <c r="Y22" s="283">
        <v>57290.504000000001</v>
      </c>
      <c r="Z22" s="283">
        <v>55669.800999999999</v>
      </c>
      <c r="AA22" s="283">
        <v>46714.063000000053</v>
      </c>
      <c r="AB22" s="283">
        <v>46194.963000000003</v>
      </c>
      <c r="AC22" s="283">
        <v>25555.703999999991</v>
      </c>
      <c r="AD22" s="283">
        <v>298.80699999999996</v>
      </c>
      <c r="AE22" s="283">
        <v>399.76200000000006</v>
      </c>
    </row>
    <row r="23" spans="1:33" x14ac:dyDescent="0.35">
      <c r="A23" s="257" t="s">
        <v>306</v>
      </c>
      <c r="B23" s="257"/>
      <c r="C23" s="257">
        <v>2020</v>
      </c>
      <c r="D23" s="254">
        <v>2021</v>
      </c>
      <c r="E23" s="254">
        <v>2022</v>
      </c>
      <c r="F23" s="254">
        <v>2023</v>
      </c>
      <c r="G23" s="254">
        <v>2024</v>
      </c>
      <c r="W23" s="283">
        <v>239846.13399999909</v>
      </c>
      <c r="X23" s="283">
        <v>175484.26800000013</v>
      </c>
      <c r="Y23" s="283">
        <v>183516.22399999941</v>
      </c>
      <c r="Z23" s="283">
        <v>157855.15800000011</v>
      </c>
      <c r="AA23" s="283">
        <v>139015.1200000004</v>
      </c>
      <c r="AB23" s="283">
        <v>132597.94199999995</v>
      </c>
      <c r="AC23" s="283">
        <v>53887.874999999862</v>
      </c>
      <c r="AD23" s="283">
        <v>2700.3150000000001</v>
      </c>
      <c r="AE23" s="283">
        <v>299.25700000000018</v>
      </c>
    </row>
    <row r="24" spans="1:33" x14ac:dyDescent="0.35">
      <c r="A24" s="250" t="s">
        <v>305</v>
      </c>
      <c r="B24" s="252" t="s">
        <v>7</v>
      </c>
      <c r="C24" s="250">
        <v>0</v>
      </c>
      <c r="D24" s="251">
        <v>99.258000000000038</v>
      </c>
      <c r="E24" s="251">
        <v>7.6519999999999868</v>
      </c>
      <c r="F24" s="251">
        <v>100.16500000000001</v>
      </c>
      <c r="G24" s="251">
        <v>199.91300000000001</v>
      </c>
      <c r="W24" s="283">
        <v>35124.229000000014</v>
      </c>
      <c r="X24" s="283">
        <v>21440.183000000001</v>
      </c>
      <c r="Y24" s="283">
        <v>24251.899999999998</v>
      </c>
      <c r="Z24" s="283">
        <v>16312.071</v>
      </c>
      <c r="AA24" s="283">
        <v>15161.644000000002</v>
      </c>
      <c r="AB24" s="283">
        <v>12728.392</v>
      </c>
      <c r="AC24" s="283">
        <v>13236.984999999999</v>
      </c>
      <c r="AD24" s="283">
        <v>11088.824999999997</v>
      </c>
      <c r="AE24" s="283">
        <v>11740.867999999995</v>
      </c>
    </row>
    <row r="25" spans="1:33" x14ac:dyDescent="0.35">
      <c r="A25" s="250" t="s">
        <v>304</v>
      </c>
      <c r="B25" s="252" t="s">
        <v>7</v>
      </c>
      <c r="C25" s="250">
        <v>0</v>
      </c>
      <c r="D25" s="251">
        <v>38</v>
      </c>
      <c r="E25" s="251">
        <v>0</v>
      </c>
      <c r="F25" s="251">
        <v>0</v>
      </c>
      <c r="G25" s="251">
        <v>0</v>
      </c>
      <c r="V25" t="s">
        <v>20</v>
      </c>
      <c r="W25" s="285">
        <f>SUM(W22:W24)</f>
        <v>374611.12399999896</v>
      </c>
      <c r="X25" s="285">
        <f t="shared" ref="X25:AE25" si="5">SUM(X22:X24)</f>
        <v>260738.06100000005</v>
      </c>
      <c r="Y25" s="285">
        <f t="shared" si="5"/>
        <v>265058.62799999944</v>
      </c>
      <c r="Z25" s="285">
        <f t="shared" si="5"/>
        <v>229837.03000000012</v>
      </c>
      <c r="AA25" s="285">
        <f t="shared" si="5"/>
        <v>200890.82700000046</v>
      </c>
      <c r="AB25" s="285">
        <f t="shared" si="5"/>
        <v>191521.29699999996</v>
      </c>
      <c r="AC25" s="285">
        <f t="shared" si="5"/>
        <v>92680.563999999853</v>
      </c>
      <c r="AD25" s="285">
        <f t="shared" si="5"/>
        <v>14087.946999999996</v>
      </c>
      <c r="AE25" s="285">
        <f t="shared" si="5"/>
        <v>12439.886999999995</v>
      </c>
      <c r="AF25" s="308">
        <f>SUM(W25:AE25)</f>
        <v>1641865.3649999988</v>
      </c>
    </row>
    <row r="26" spans="1:33" x14ac:dyDescent="0.35">
      <c r="A26" s="250"/>
      <c r="B26" s="252"/>
      <c r="C26" s="250"/>
      <c r="D26" s="251"/>
      <c r="E26" s="251"/>
      <c r="F26" s="251"/>
      <c r="G26" s="251"/>
      <c r="W26" s="285">
        <f>W25/$AF$25*9*140000</f>
        <v>287483.99613143614</v>
      </c>
      <c r="X26" s="285">
        <f>X25/$AF$25*9*140000</f>
        <v>200095.55220747367</v>
      </c>
      <c r="Y26" s="285">
        <f t="shared" ref="Y26:AE26" si="6">Y25/$AF$25*9*140000</f>
        <v>203411.2408967221</v>
      </c>
      <c r="Z26" s="285">
        <f t="shared" si="6"/>
        <v>176381.48899011605</v>
      </c>
      <c r="AA26" s="285">
        <f t="shared" si="6"/>
        <v>154167.59949741722</v>
      </c>
      <c r="AB26" s="285">
        <f t="shared" si="6"/>
        <v>146977.23660185747</v>
      </c>
      <c r="AC26" s="285">
        <f t="shared" si="6"/>
        <v>71124.900451261972</v>
      </c>
      <c r="AD26" s="285">
        <f t="shared" si="6"/>
        <v>10811.369554652862</v>
      </c>
      <c r="AE26" s="285">
        <f t="shared" si="6"/>
        <v>9546.6156690624903</v>
      </c>
      <c r="AF26" s="308">
        <f>SUM(W26:AE26)</f>
        <v>1260000.0000000002</v>
      </c>
      <c r="AG26" s="204"/>
    </row>
    <row r="27" spans="1:33" x14ac:dyDescent="0.35">
      <c r="A27" s="250" t="s">
        <v>303</v>
      </c>
      <c r="B27" s="252" t="s">
        <v>7</v>
      </c>
      <c r="C27" s="250">
        <v>0</v>
      </c>
      <c r="D27" s="251">
        <v>299.98900000000003</v>
      </c>
      <c r="E27" s="251">
        <v>595.74099999999999</v>
      </c>
      <c r="F27" s="251">
        <v>0</v>
      </c>
      <c r="G27" s="251">
        <v>584.80999999999995</v>
      </c>
      <c r="W27" s="284">
        <f>W$26*W22/W$25</f>
        <v>76466.293483205271</v>
      </c>
      <c r="X27" s="284">
        <f t="shared" ref="X27:AE27" si="7">X$26*X22/X$25</f>
        <v>48971.828210774125</v>
      </c>
      <c r="Y27" s="284">
        <f t="shared" si="7"/>
        <v>43965.867469285491</v>
      </c>
      <c r="Z27" s="284">
        <f t="shared" si="7"/>
        <v>42722.107887329759</v>
      </c>
      <c r="AA27" s="284">
        <f t="shared" si="7"/>
        <v>35849.297168163423</v>
      </c>
      <c r="AB27" s="284">
        <f t="shared" si="7"/>
        <v>35450.929546832871</v>
      </c>
      <c r="AC27" s="284">
        <f t="shared" si="7"/>
        <v>19611.953407641322</v>
      </c>
      <c r="AD27" s="284">
        <f t="shared" si="7"/>
        <v>229.31040999211297</v>
      </c>
      <c r="AE27" s="284">
        <f t="shared" si="7"/>
        <v>306.78527651382694</v>
      </c>
    </row>
    <row r="28" spans="1:33" x14ac:dyDescent="0.35">
      <c r="A28" s="250" t="s">
        <v>302</v>
      </c>
      <c r="B28" s="252" t="s">
        <v>7</v>
      </c>
      <c r="C28" s="250">
        <v>19752</v>
      </c>
      <c r="D28" s="251">
        <v>1343.0170000000001</v>
      </c>
      <c r="E28" s="251">
        <v>3.0300000000000864</v>
      </c>
      <c r="F28" s="251">
        <v>0</v>
      </c>
      <c r="G28" s="251">
        <v>299.93799999999999</v>
      </c>
      <c r="W28" s="284">
        <f t="shared" ref="W28:AE29" si="8">W$26*W23/W$25</f>
        <v>184062.67364072148</v>
      </c>
      <c r="X28" s="284">
        <f t="shared" si="8"/>
        <v>134670.10291675184</v>
      </c>
      <c r="Y28" s="284">
        <f t="shared" si="8"/>
        <v>140833.98503262745</v>
      </c>
      <c r="Z28" s="284">
        <f t="shared" si="8"/>
        <v>121141.17473937962</v>
      </c>
      <c r="AA28" s="284">
        <f t="shared" si="8"/>
        <v>106682.95643108388</v>
      </c>
      <c r="AB28" s="284">
        <f t="shared" si="8"/>
        <v>101758.28693481212</v>
      </c>
      <c r="AC28" s="284">
        <f t="shared" si="8"/>
        <v>41354.622581980024</v>
      </c>
      <c r="AD28" s="284">
        <f t="shared" si="8"/>
        <v>2072.2752136256936</v>
      </c>
      <c r="AE28" s="284">
        <f t="shared" si="8"/>
        <v>229.65574890484427</v>
      </c>
    </row>
    <row r="29" spans="1:33" x14ac:dyDescent="0.35">
      <c r="A29" s="250" t="s">
        <v>301</v>
      </c>
      <c r="B29" s="252" t="s">
        <v>7</v>
      </c>
      <c r="C29" s="250">
        <v>0</v>
      </c>
      <c r="D29" s="251">
        <v>2405.5190000000002</v>
      </c>
      <c r="E29" s="251">
        <v>3001.721</v>
      </c>
      <c r="F29" s="251">
        <v>859.85600000000034</v>
      </c>
      <c r="G29" s="251">
        <v>255.78300000000013</v>
      </c>
      <c r="W29" s="284">
        <f t="shared" si="8"/>
        <v>26955.02900750942</v>
      </c>
      <c r="X29" s="284">
        <f t="shared" si="8"/>
        <v>16453.621079947698</v>
      </c>
      <c r="Y29" s="284">
        <f t="shared" si="8"/>
        <v>18611.38839480911</v>
      </c>
      <c r="Z29" s="284">
        <f t="shared" si="8"/>
        <v>12518.206363406671</v>
      </c>
      <c r="AA29" s="284">
        <f t="shared" si="8"/>
        <v>11635.345898169924</v>
      </c>
      <c r="AB29" s="284">
        <f t="shared" si="8"/>
        <v>9768.0201202124808</v>
      </c>
      <c r="AC29" s="284">
        <f t="shared" si="8"/>
        <v>10158.324461640623</v>
      </c>
      <c r="AD29" s="284">
        <f t="shared" si="8"/>
        <v>8509.7839310350555</v>
      </c>
      <c r="AE29" s="284">
        <f t="shared" si="8"/>
        <v>9010.1746436438189</v>
      </c>
    </row>
    <row r="30" spans="1:33" x14ac:dyDescent="0.35">
      <c r="A30" s="250" t="s">
        <v>300</v>
      </c>
      <c r="B30" s="252" t="s">
        <v>7</v>
      </c>
      <c r="C30" s="250">
        <v>0</v>
      </c>
      <c r="D30" s="251">
        <v>100.202</v>
      </c>
      <c r="E30" s="251">
        <v>0</v>
      </c>
      <c r="F30" s="251">
        <v>0</v>
      </c>
      <c r="G30" s="251">
        <v>0</v>
      </c>
      <c r="W30" s="185">
        <f>SUM(W27:W29)</f>
        <v>287483.99613143614</v>
      </c>
      <c r="X30" s="185">
        <f t="shared" ref="X30:AE30" si="9">SUM(X27:X29)</f>
        <v>200095.55220747367</v>
      </c>
      <c r="Y30" s="185">
        <f t="shared" si="9"/>
        <v>203411.24089672207</v>
      </c>
      <c r="Z30" s="185">
        <f t="shared" si="9"/>
        <v>176381.48899011605</v>
      </c>
      <c r="AA30" s="185">
        <f t="shared" si="9"/>
        <v>154167.59949741725</v>
      </c>
      <c r="AB30" s="185">
        <f t="shared" si="9"/>
        <v>146977.23660185747</v>
      </c>
      <c r="AC30" s="185">
        <f t="shared" si="9"/>
        <v>71124.900451261958</v>
      </c>
      <c r="AD30" s="185">
        <f t="shared" si="9"/>
        <v>10811.369554652862</v>
      </c>
      <c r="AE30" s="185">
        <f t="shared" si="9"/>
        <v>9546.6156690624903</v>
      </c>
      <c r="AF30">
        <f>AVERAGE(W30:AE30)</f>
        <v>140000.00000000003</v>
      </c>
    </row>
    <row r="31" spans="1:33" x14ac:dyDescent="0.35">
      <c r="A31" s="250" t="s">
        <v>299</v>
      </c>
      <c r="B31" s="252" t="s">
        <v>7</v>
      </c>
      <c r="C31" s="250">
        <v>0</v>
      </c>
      <c r="D31" s="251">
        <v>269.86500000000001</v>
      </c>
      <c r="E31" s="251">
        <v>200.39300000000003</v>
      </c>
      <c r="F31" s="251">
        <v>0</v>
      </c>
      <c r="G31" s="251">
        <v>957.42400000000009</v>
      </c>
    </row>
    <row r="32" spans="1:33" x14ac:dyDescent="0.35">
      <c r="A32" s="250" t="s">
        <v>298</v>
      </c>
      <c r="B32" s="252" t="s">
        <v>7</v>
      </c>
      <c r="C32" s="250">
        <v>0</v>
      </c>
      <c r="D32" s="251">
        <v>0</v>
      </c>
      <c r="E32" s="251">
        <v>100.38499999999993</v>
      </c>
      <c r="F32" s="251">
        <v>100.87599999999998</v>
      </c>
      <c r="G32" s="251">
        <v>0</v>
      </c>
    </row>
    <row r="33" spans="1:31" x14ac:dyDescent="0.35">
      <c r="A33" s="250" t="s">
        <v>297</v>
      </c>
      <c r="B33" s="252" t="s">
        <v>7</v>
      </c>
      <c r="C33" s="250">
        <v>0</v>
      </c>
      <c r="D33" s="251">
        <v>213.6989999999999</v>
      </c>
      <c r="E33" s="251">
        <v>475.5299999999998</v>
      </c>
      <c r="F33" s="251">
        <v>99.753</v>
      </c>
      <c r="G33" s="251">
        <v>1207.3289999999997</v>
      </c>
    </row>
    <row r="34" spans="1:31" x14ac:dyDescent="0.35">
      <c r="A34" s="250" t="s">
        <v>296</v>
      </c>
      <c r="B34" s="252" t="s">
        <v>7</v>
      </c>
      <c r="C34" s="250">
        <v>0</v>
      </c>
      <c r="D34" s="251">
        <v>573.2120000000001</v>
      </c>
      <c r="E34" s="251">
        <v>476.15500000000003</v>
      </c>
      <c r="F34" s="251">
        <v>0</v>
      </c>
      <c r="G34" s="251">
        <v>1750.0539999999999</v>
      </c>
    </row>
    <row r="35" spans="1:31" x14ac:dyDescent="0.35">
      <c r="A35" s="250" t="s">
        <v>295</v>
      </c>
      <c r="B35" s="252" t="s">
        <v>7</v>
      </c>
      <c r="C35" s="250">
        <v>0</v>
      </c>
      <c r="D35" s="251">
        <v>1717.6820000000002</v>
      </c>
      <c r="E35" s="251">
        <v>2694.1489999999999</v>
      </c>
      <c r="F35" s="251">
        <v>788.48100000000022</v>
      </c>
      <c r="G35" s="251">
        <v>2188.2550000000001</v>
      </c>
      <c r="V35" s="91" t="s">
        <v>351</v>
      </c>
    </row>
    <row r="36" spans="1:31" x14ac:dyDescent="0.35">
      <c r="A36" s="250" t="s">
        <v>294</v>
      </c>
      <c r="B36" s="252" t="s">
        <v>7</v>
      </c>
      <c r="C36" s="250">
        <v>0</v>
      </c>
      <c r="D36" s="251">
        <v>17083.751000000011</v>
      </c>
      <c r="E36" s="251">
        <v>18570.607</v>
      </c>
      <c r="F36" s="251">
        <v>39868.582000000017</v>
      </c>
      <c r="G36" s="251">
        <v>21062.954000000002</v>
      </c>
      <c r="V36" s="220" t="s">
        <v>342</v>
      </c>
      <c r="W36">
        <v>99640.760999999897</v>
      </c>
      <c r="X36">
        <v>63813.609999999921</v>
      </c>
      <c r="Y36">
        <v>57290.504000000001</v>
      </c>
      <c r="Z36">
        <v>55669.800999999999</v>
      </c>
      <c r="AA36">
        <v>46714.063000000053</v>
      </c>
      <c r="AB36">
        <v>46194.963000000003</v>
      </c>
      <c r="AC36">
        <v>25555.703999999991</v>
      </c>
      <c r="AD36">
        <v>298.80699999999996</v>
      </c>
      <c r="AE36">
        <v>399.76200000000006</v>
      </c>
    </row>
    <row r="37" spans="1:31" x14ac:dyDescent="0.35">
      <c r="A37" s="250" t="s">
        <v>293</v>
      </c>
      <c r="B37" s="252" t="s">
        <v>7</v>
      </c>
      <c r="C37" s="250">
        <v>0</v>
      </c>
      <c r="D37" s="251">
        <v>0</v>
      </c>
      <c r="E37" s="251">
        <v>299.99599999999998</v>
      </c>
      <c r="F37" s="251">
        <v>0</v>
      </c>
      <c r="G37" s="251">
        <v>0</v>
      </c>
      <c r="V37" s="220" t="s">
        <v>6</v>
      </c>
      <c r="W37">
        <v>239846.13399999909</v>
      </c>
      <c r="X37">
        <v>175484.26800000013</v>
      </c>
      <c r="Y37">
        <v>183516.22399999941</v>
      </c>
      <c r="Z37">
        <v>157855.15800000011</v>
      </c>
      <c r="AA37">
        <v>139015.1200000004</v>
      </c>
      <c r="AB37">
        <v>132597.94199999995</v>
      </c>
      <c r="AC37">
        <v>53887.874999999862</v>
      </c>
      <c r="AD37">
        <v>2700.3150000000001</v>
      </c>
      <c r="AE37">
        <v>299.25700000000018</v>
      </c>
    </row>
    <row r="38" spans="1:31" x14ac:dyDescent="0.35">
      <c r="A38" s="250" t="s">
        <v>292</v>
      </c>
      <c r="B38" s="252" t="s">
        <v>7</v>
      </c>
      <c r="C38" s="250">
        <v>0</v>
      </c>
      <c r="D38" s="251">
        <v>0</v>
      </c>
      <c r="E38" s="251">
        <v>0</v>
      </c>
      <c r="F38" s="251">
        <v>0</v>
      </c>
      <c r="G38" s="251">
        <v>100.30799999999999</v>
      </c>
      <c r="V38" s="220" t="s">
        <v>7</v>
      </c>
      <c r="W38">
        <v>35124.229000000014</v>
      </c>
      <c r="X38">
        <v>21440.183000000001</v>
      </c>
      <c r="Y38">
        <v>24251.899999999998</v>
      </c>
      <c r="Z38">
        <v>16312.071</v>
      </c>
      <c r="AA38">
        <v>15161.644000000002</v>
      </c>
      <c r="AB38">
        <v>12728.392</v>
      </c>
      <c r="AC38">
        <v>13236.984999999999</v>
      </c>
      <c r="AD38">
        <v>11088.824999999997</v>
      </c>
      <c r="AE38">
        <v>11740.867999999995</v>
      </c>
    </row>
    <row r="39" spans="1:31" x14ac:dyDescent="0.35">
      <c r="A39" s="250" t="s">
        <v>291</v>
      </c>
      <c r="B39" s="252" t="s">
        <v>7</v>
      </c>
      <c r="C39" s="250">
        <v>0</v>
      </c>
      <c r="D39" s="251">
        <v>0</v>
      </c>
      <c r="E39" s="251">
        <v>2265.2450000000003</v>
      </c>
      <c r="F39" s="251">
        <v>0</v>
      </c>
      <c r="G39" s="251">
        <v>99.701999999999998</v>
      </c>
      <c r="V39" s="220" t="s">
        <v>343</v>
      </c>
      <c r="W39">
        <v>7215.5639999999985</v>
      </c>
      <c r="X39">
        <v>6961.9129999999996</v>
      </c>
      <c r="Y39">
        <v>9324.0399999999972</v>
      </c>
      <c r="Z39">
        <v>1256.5079999999996</v>
      </c>
      <c r="AA39">
        <v>1897.5749999999996</v>
      </c>
      <c r="AB39">
        <v>1199.163</v>
      </c>
      <c r="AC39">
        <v>761.89999999999975</v>
      </c>
      <c r="AE39">
        <v>600.97899999999993</v>
      </c>
    </row>
    <row r="40" spans="1:31" x14ac:dyDescent="0.35">
      <c r="A40" s="250" t="s">
        <v>290</v>
      </c>
      <c r="B40" s="252" t="s">
        <v>7</v>
      </c>
      <c r="C40" s="250">
        <v>0</v>
      </c>
      <c r="D40" s="251">
        <v>0</v>
      </c>
      <c r="E40" s="251">
        <v>81.229000000000042</v>
      </c>
      <c r="F40" s="251">
        <v>0</v>
      </c>
      <c r="G40" s="251">
        <v>0</v>
      </c>
      <c r="V40" s="220" t="s">
        <v>344</v>
      </c>
      <c r="W40">
        <v>1540.114</v>
      </c>
      <c r="X40">
        <v>7711.286000000001</v>
      </c>
      <c r="Y40">
        <v>238.92900000000006</v>
      </c>
      <c r="Z40">
        <v>2977</v>
      </c>
      <c r="AA40">
        <v>1997.2550000000003</v>
      </c>
      <c r="AB40">
        <v>252.43299999999982</v>
      </c>
      <c r="AC40">
        <v>15.755999999999972</v>
      </c>
      <c r="AD40">
        <v>15.755999999999972</v>
      </c>
      <c r="AE40">
        <v>15.152999999999906</v>
      </c>
    </row>
    <row r="41" spans="1:31" x14ac:dyDescent="0.35">
      <c r="A41" s="250" t="s">
        <v>289</v>
      </c>
      <c r="B41" s="252" t="s">
        <v>127</v>
      </c>
      <c r="C41" s="250">
        <v>0</v>
      </c>
      <c r="D41" s="251">
        <v>380.23599999999988</v>
      </c>
      <c r="E41" s="251">
        <v>2219.8209999999999</v>
      </c>
      <c r="F41" s="251">
        <v>676.04099999999994</v>
      </c>
      <c r="G41" s="251">
        <v>230.0329999999999</v>
      </c>
      <c r="V41" s="220" t="s">
        <v>345</v>
      </c>
      <c r="W41">
        <v>9068.6359999999968</v>
      </c>
      <c r="X41">
        <v>2540.9389999999994</v>
      </c>
      <c r="Y41">
        <v>4074.2320000000013</v>
      </c>
      <c r="Z41">
        <v>873.27200000000016</v>
      </c>
      <c r="AA41">
        <v>2326.8249999999998</v>
      </c>
      <c r="AB41">
        <v>7400.3750000000009</v>
      </c>
      <c r="AC41">
        <v>5098.3750000000009</v>
      </c>
      <c r="AD41">
        <v>1796.066</v>
      </c>
      <c r="AE41">
        <v>115.30699999999996</v>
      </c>
    </row>
    <row r="42" spans="1:31" x14ac:dyDescent="0.35">
      <c r="A42" s="250" t="s">
        <v>288</v>
      </c>
      <c r="B42" s="252" t="s">
        <v>127</v>
      </c>
      <c r="C42" s="250">
        <v>6294</v>
      </c>
      <c r="D42" s="251">
        <v>0</v>
      </c>
      <c r="E42" s="251">
        <v>0</v>
      </c>
      <c r="F42" s="251">
        <v>0</v>
      </c>
      <c r="G42" s="251">
        <v>0</v>
      </c>
      <c r="V42" s="220" t="s">
        <v>346</v>
      </c>
      <c r="W42">
        <v>27509.881999999954</v>
      </c>
      <c r="X42">
        <v>21217.416999999987</v>
      </c>
      <c r="Y42">
        <v>649.65499999999986</v>
      </c>
      <c r="Z42">
        <v>813.57899999999972</v>
      </c>
      <c r="AB42">
        <v>9497.7870000000057</v>
      </c>
      <c r="AC42">
        <v>799.70699999999977</v>
      </c>
      <c r="AE42">
        <v>100.25799999999992</v>
      </c>
    </row>
    <row r="43" spans="1:31" x14ac:dyDescent="0.35">
      <c r="A43" s="250" t="s">
        <v>287</v>
      </c>
      <c r="B43" s="252" t="s">
        <v>6</v>
      </c>
      <c r="C43" s="250">
        <v>0</v>
      </c>
      <c r="D43" s="251">
        <v>3971.449000000001</v>
      </c>
      <c r="E43" s="251">
        <v>2632.0250000000001</v>
      </c>
      <c r="F43" s="251">
        <v>621.26100000000008</v>
      </c>
      <c r="G43" s="251">
        <v>274.84400000000005</v>
      </c>
      <c r="V43" s="220" t="s">
        <v>347</v>
      </c>
      <c r="W43">
        <v>15812.847000000007</v>
      </c>
      <c r="X43">
        <v>17781.446000000011</v>
      </c>
      <c r="Y43">
        <v>13465.914000000015</v>
      </c>
      <c r="Z43">
        <v>15967.685000000019</v>
      </c>
      <c r="AA43">
        <v>5786.1819999999971</v>
      </c>
      <c r="AB43">
        <v>5001.7999999999975</v>
      </c>
      <c r="AC43">
        <v>4571.5340000000006</v>
      </c>
      <c r="AD43">
        <v>895.81799999999976</v>
      </c>
    </row>
    <row r="44" spans="1:31" x14ac:dyDescent="0.35">
      <c r="A44" s="250" t="s">
        <v>286</v>
      </c>
      <c r="B44" s="252" t="s">
        <v>6</v>
      </c>
      <c r="C44" s="250">
        <v>0</v>
      </c>
      <c r="D44" s="251">
        <v>1648.8319999999999</v>
      </c>
      <c r="E44" s="251">
        <v>1241.4059999999999</v>
      </c>
      <c r="F44" s="251">
        <v>290.26599999999985</v>
      </c>
      <c r="G44" s="251">
        <v>547.14100000000008</v>
      </c>
      <c r="V44" s="220" t="s">
        <v>8</v>
      </c>
    </row>
    <row r="45" spans="1:31" x14ac:dyDescent="0.35">
      <c r="A45" s="250" t="s">
        <v>285</v>
      </c>
      <c r="B45" s="252" t="s">
        <v>6</v>
      </c>
      <c r="C45" s="250">
        <v>54850</v>
      </c>
      <c r="D45" s="251">
        <v>87091.041000000143</v>
      </c>
      <c r="E45" s="251">
        <v>110156.76899999987</v>
      </c>
      <c r="F45" s="251">
        <v>70972.044999999984</v>
      </c>
      <c r="G45" s="251">
        <v>140789.17999999985</v>
      </c>
      <c r="V45" t="s">
        <v>348</v>
      </c>
    </row>
    <row r="46" spans="1:31" x14ac:dyDescent="0.35">
      <c r="A46" s="250" t="s">
        <v>284</v>
      </c>
      <c r="B46" s="252" t="s">
        <v>129</v>
      </c>
      <c r="C46" s="250">
        <v>0</v>
      </c>
      <c r="D46" s="251">
        <v>2943.3430000000008</v>
      </c>
      <c r="E46" s="251">
        <v>3316.85</v>
      </c>
      <c r="F46" s="251">
        <v>5877.139000000001</v>
      </c>
      <c r="G46" s="251">
        <v>1479.6640000000002</v>
      </c>
      <c r="V46" t="s">
        <v>349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</row>
    <row r="47" spans="1:31" x14ac:dyDescent="0.35">
      <c r="A47" s="250" t="s">
        <v>283</v>
      </c>
      <c r="B47" s="252" t="s">
        <v>8</v>
      </c>
      <c r="C47" s="250">
        <v>0</v>
      </c>
      <c r="D47" s="251">
        <v>102.98599999999999</v>
      </c>
      <c r="E47" s="251">
        <v>335.03100000000006</v>
      </c>
      <c r="F47" s="251">
        <v>0</v>
      </c>
      <c r="G47" s="251">
        <v>0</v>
      </c>
      <c r="V47" s="220" t="s">
        <v>9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</row>
    <row r="48" spans="1:31" x14ac:dyDescent="0.35">
      <c r="A48" s="250" t="s">
        <v>282</v>
      </c>
      <c r="B48" s="252" t="s">
        <v>8</v>
      </c>
      <c r="C48" s="250">
        <v>0</v>
      </c>
      <c r="D48" s="251">
        <v>500</v>
      </c>
      <c r="E48" s="251">
        <v>1150</v>
      </c>
      <c r="F48" s="251">
        <v>1250</v>
      </c>
      <c r="G48" s="251">
        <v>1250</v>
      </c>
      <c r="V48" t="s">
        <v>350</v>
      </c>
    </row>
    <row r="49" spans="1:31" x14ac:dyDescent="0.35">
      <c r="A49" s="250" t="s">
        <v>281</v>
      </c>
      <c r="B49" s="252" t="s">
        <v>128</v>
      </c>
      <c r="C49" s="250">
        <v>0</v>
      </c>
      <c r="D49" s="251">
        <v>20771.340999999993</v>
      </c>
      <c r="E49" s="251">
        <v>21211.416999999998</v>
      </c>
      <c r="F49" s="251">
        <v>14708.113000000001</v>
      </c>
      <c r="G49" s="251">
        <v>11865.663000000002</v>
      </c>
    </row>
    <row r="50" spans="1:31" x14ac:dyDescent="0.35">
      <c r="A50" s="250" t="s">
        <v>280</v>
      </c>
      <c r="B50" s="252" t="s">
        <v>133</v>
      </c>
      <c r="C50" s="250">
        <v>0</v>
      </c>
      <c r="D50" s="251">
        <v>199.45199999999988</v>
      </c>
      <c r="E50" s="251">
        <v>100.25099999999998</v>
      </c>
      <c r="F50" s="251">
        <v>704.58699999999988</v>
      </c>
      <c r="G50" s="251">
        <v>1600.2520000000006</v>
      </c>
      <c r="V50" s="91" t="s">
        <v>253</v>
      </c>
    </row>
    <row r="51" spans="1:31" x14ac:dyDescent="0.35">
      <c r="A51" s="250" t="s">
        <v>279</v>
      </c>
      <c r="B51" s="252" t="s">
        <v>133</v>
      </c>
      <c r="C51" s="250">
        <v>0</v>
      </c>
      <c r="D51" s="251">
        <v>99.36200000000008</v>
      </c>
      <c r="E51" s="251">
        <v>3747.998</v>
      </c>
      <c r="F51" s="251">
        <v>1768.6609999999998</v>
      </c>
      <c r="G51" s="251">
        <v>876.72500000000002</v>
      </c>
      <c r="V51" t="s">
        <v>127</v>
      </c>
      <c r="W51" s="185">
        <f>W27</f>
        <v>76466.293483205271</v>
      </c>
      <c r="X51" s="185">
        <f t="shared" ref="X51:AE51" si="10">X27</f>
        <v>48971.828210774125</v>
      </c>
      <c r="Y51" s="185">
        <f t="shared" si="10"/>
        <v>43965.867469285491</v>
      </c>
      <c r="Z51" s="185">
        <f t="shared" si="10"/>
        <v>42722.107887329759</v>
      </c>
      <c r="AA51" s="185">
        <f t="shared" si="10"/>
        <v>35849.297168163423</v>
      </c>
      <c r="AB51" s="185">
        <f t="shared" si="10"/>
        <v>35450.929546832871</v>
      </c>
      <c r="AC51" s="185">
        <f t="shared" si="10"/>
        <v>19611.953407641322</v>
      </c>
      <c r="AD51" s="185">
        <f t="shared" si="10"/>
        <v>229.31040999211297</v>
      </c>
      <c r="AE51" s="185">
        <f t="shared" si="10"/>
        <v>306.78527651382694</v>
      </c>
    </row>
    <row r="52" spans="1:31" x14ac:dyDescent="0.35">
      <c r="A52" s="255" t="s">
        <v>278</v>
      </c>
      <c r="B52" s="256" t="s">
        <v>134</v>
      </c>
      <c r="C52" s="255">
        <v>43621</v>
      </c>
      <c r="D52" s="251">
        <v>0</v>
      </c>
      <c r="E52" s="251">
        <v>100.423</v>
      </c>
      <c r="F52" s="251">
        <v>0</v>
      </c>
      <c r="G52" s="251">
        <v>0</v>
      </c>
      <c r="V52" t="s">
        <v>6</v>
      </c>
      <c r="W52" s="185">
        <f>W28</f>
        <v>184062.67364072148</v>
      </c>
      <c r="X52" s="185">
        <f t="shared" ref="X52:AE52" si="11">X28</f>
        <v>134670.10291675184</v>
      </c>
      <c r="Y52" s="185">
        <f t="shared" si="11"/>
        <v>140833.98503262745</v>
      </c>
      <c r="Z52" s="185">
        <f t="shared" si="11"/>
        <v>121141.17473937962</v>
      </c>
      <c r="AA52" s="185">
        <f t="shared" si="11"/>
        <v>106682.95643108388</v>
      </c>
      <c r="AB52" s="185">
        <f t="shared" si="11"/>
        <v>101758.28693481212</v>
      </c>
      <c r="AC52" s="185">
        <f t="shared" si="11"/>
        <v>41354.622581980024</v>
      </c>
      <c r="AD52" s="185">
        <f t="shared" si="11"/>
        <v>2072.2752136256936</v>
      </c>
      <c r="AE52" s="185">
        <f t="shared" si="11"/>
        <v>229.65574890484427</v>
      </c>
    </row>
    <row r="53" spans="1:31" x14ac:dyDescent="0.35">
      <c r="A53" s="253" t="s">
        <v>277</v>
      </c>
      <c r="B53" s="254" t="s">
        <v>133</v>
      </c>
      <c r="C53" s="253">
        <v>0</v>
      </c>
      <c r="D53" s="251">
        <v>54503</v>
      </c>
      <c r="E53" s="251">
        <v>0</v>
      </c>
      <c r="F53" s="251">
        <v>0</v>
      </c>
      <c r="G53" s="251">
        <v>0</v>
      </c>
      <c r="V53" t="s">
        <v>7</v>
      </c>
      <c r="W53" s="185">
        <f>W29</f>
        <v>26955.02900750942</v>
      </c>
      <c r="X53" s="185">
        <f t="shared" ref="X53:AE53" si="12">X29</f>
        <v>16453.621079947698</v>
      </c>
      <c r="Y53" s="185">
        <f t="shared" si="12"/>
        <v>18611.38839480911</v>
      </c>
      <c r="Z53" s="185">
        <f t="shared" si="12"/>
        <v>12518.206363406671</v>
      </c>
      <c r="AA53" s="185">
        <f t="shared" si="12"/>
        <v>11635.345898169924</v>
      </c>
      <c r="AB53" s="185">
        <f t="shared" si="12"/>
        <v>9768.0201202124808</v>
      </c>
      <c r="AC53" s="185">
        <f t="shared" si="12"/>
        <v>10158.324461640623</v>
      </c>
      <c r="AD53" s="185">
        <f t="shared" si="12"/>
        <v>8509.7839310350555</v>
      </c>
      <c r="AE53" s="185">
        <f t="shared" si="12"/>
        <v>9010.1746436438189</v>
      </c>
    </row>
    <row r="54" spans="1:31" x14ac:dyDescent="0.35">
      <c r="A54" s="250" t="s">
        <v>276</v>
      </c>
      <c r="B54" s="252" t="s">
        <v>132</v>
      </c>
      <c r="C54" s="250">
        <v>7140</v>
      </c>
      <c r="D54" s="251">
        <v>6274.1730000000007</v>
      </c>
      <c r="E54" s="251">
        <v>8228.5779999999977</v>
      </c>
      <c r="F54" s="251">
        <v>1861.3319999999999</v>
      </c>
      <c r="G54" s="251">
        <v>1964.4470000000001</v>
      </c>
      <c r="V54" t="s">
        <v>128</v>
      </c>
      <c r="W54">
        <f>W42</f>
        <v>27509.881999999954</v>
      </c>
      <c r="X54">
        <f t="shared" ref="X54:AE54" si="13">X42</f>
        <v>21217.416999999987</v>
      </c>
      <c r="Y54">
        <f t="shared" si="13"/>
        <v>649.65499999999986</v>
      </c>
      <c r="Z54">
        <f t="shared" si="13"/>
        <v>813.57899999999972</v>
      </c>
      <c r="AA54">
        <f t="shared" si="13"/>
        <v>0</v>
      </c>
      <c r="AB54">
        <f t="shared" si="13"/>
        <v>9497.7870000000057</v>
      </c>
      <c r="AC54">
        <f t="shared" si="13"/>
        <v>799.70699999999977</v>
      </c>
      <c r="AD54">
        <f t="shared" si="13"/>
        <v>0</v>
      </c>
      <c r="AE54">
        <f t="shared" si="13"/>
        <v>100.25799999999992</v>
      </c>
    </row>
    <row r="55" spans="1:31" x14ac:dyDescent="0.35">
      <c r="A55" s="250" t="s">
        <v>275</v>
      </c>
      <c r="B55" s="252" t="s">
        <v>133</v>
      </c>
      <c r="C55" s="250">
        <v>680</v>
      </c>
      <c r="D55" s="251">
        <v>0</v>
      </c>
      <c r="E55" s="251">
        <v>0</v>
      </c>
      <c r="F55" s="251">
        <v>0</v>
      </c>
      <c r="G55" s="251">
        <v>0</v>
      </c>
      <c r="V55" t="s">
        <v>129</v>
      </c>
      <c r="W55">
        <f>W39</f>
        <v>7215.5639999999985</v>
      </c>
      <c r="X55">
        <f t="shared" ref="X55:AE55" si="14">X39</f>
        <v>6961.9129999999996</v>
      </c>
      <c r="Y55">
        <f t="shared" si="14"/>
        <v>9324.0399999999972</v>
      </c>
      <c r="Z55">
        <f t="shared" si="14"/>
        <v>1256.5079999999996</v>
      </c>
      <c r="AA55">
        <f t="shared" si="14"/>
        <v>1897.5749999999996</v>
      </c>
      <c r="AB55">
        <f t="shared" si="14"/>
        <v>1199.163</v>
      </c>
      <c r="AC55">
        <f t="shared" si="14"/>
        <v>761.89999999999975</v>
      </c>
      <c r="AD55">
        <f t="shared" si="14"/>
        <v>0</v>
      </c>
      <c r="AE55">
        <f t="shared" si="14"/>
        <v>600.97899999999993</v>
      </c>
    </row>
    <row r="56" spans="1:31" x14ac:dyDescent="0.35">
      <c r="A56" s="250"/>
      <c r="B56" s="250"/>
      <c r="C56" s="250"/>
      <c r="D56" s="251"/>
      <c r="E56" s="251"/>
      <c r="F56" s="251"/>
      <c r="G56" s="251"/>
      <c r="V56" t="s">
        <v>130</v>
      </c>
      <c r="W56">
        <f>W43+W40</f>
        <v>17352.961000000007</v>
      </c>
      <c r="X56">
        <f t="shared" ref="X56:AE56" si="15">X43+X40</f>
        <v>25492.732000000011</v>
      </c>
      <c r="Y56">
        <f t="shared" si="15"/>
        <v>13704.843000000015</v>
      </c>
      <c r="Z56">
        <f t="shared" si="15"/>
        <v>18944.685000000019</v>
      </c>
      <c r="AA56">
        <f t="shared" si="15"/>
        <v>7783.4369999999972</v>
      </c>
      <c r="AB56">
        <f t="shared" si="15"/>
        <v>5254.2329999999974</v>
      </c>
      <c r="AC56">
        <f t="shared" si="15"/>
        <v>4587.2900000000009</v>
      </c>
      <c r="AD56">
        <f t="shared" si="15"/>
        <v>911.57399999999973</v>
      </c>
      <c r="AE56">
        <f t="shared" si="15"/>
        <v>15.152999999999906</v>
      </c>
    </row>
    <row r="57" spans="1:31" x14ac:dyDescent="0.35">
      <c r="A57" s="250"/>
      <c r="B57" s="250"/>
      <c r="C57" s="249">
        <v>132337</v>
      </c>
      <c r="D57" s="248">
        <v>202827.31000000014</v>
      </c>
      <c r="E57" s="248">
        <v>183228.46299999984</v>
      </c>
      <c r="F57" s="248">
        <v>140547.158</v>
      </c>
      <c r="G57" s="248">
        <v>189584.41899999988</v>
      </c>
      <c r="V57" t="s">
        <v>131</v>
      </c>
    </row>
    <row r="58" spans="1:31" x14ac:dyDescent="0.35">
      <c r="V58" t="s">
        <v>132</v>
      </c>
      <c r="W58">
        <f>W41</f>
        <v>9068.6359999999968</v>
      </c>
      <c r="X58">
        <f t="shared" ref="X58:AE58" si="16">X41</f>
        <v>2540.9389999999994</v>
      </c>
      <c r="Y58">
        <f t="shared" si="16"/>
        <v>4074.2320000000013</v>
      </c>
      <c r="Z58">
        <f t="shared" si="16"/>
        <v>873.27200000000016</v>
      </c>
      <c r="AA58">
        <f t="shared" si="16"/>
        <v>2326.8249999999998</v>
      </c>
      <c r="AB58">
        <f t="shared" si="16"/>
        <v>7400.3750000000009</v>
      </c>
      <c r="AC58">
        <f t="shared" si="16"/>
        <v>5098.3750000000009</v>
      </c>
      <c r="AD58">
        <f t="shared" si="16"/>
        <v>1796.066</v>
      </c>
      <c r="AE58">
        <f t="shared" si="16"/>
        <v>115.30699999999996</v>
      </c>
    </row>
    <row r="59" spans="1:31" x14ac:dyDescent="0.35">
      <c r="V59" t="s">
        <v>133</v>
      </c>
    </row>
    <row r="60" spans="1:31" x14ac:dyDescent="0.35">
      <c r="V60" t="s">
        <v>8</v>
      </c>
      <c r="W60">
        <f>W44</f>
        <v>0</v>
      </c>
      <c r="X60">
        <f t="shared" ref="X60:AE60" si="17">X44</f>
        <v>0</v>
      </c>
      <c r="Y60">
        <f t="shared" si="17"/>
        <v>0</v>
      </c>
      <c r="Z60">
        <f t="shared" si="17"/>
        <v>0</v>
      </c>
      <c r="AA60">
        <f t="shared" si="17"/>
        <v>0</v>
      </c>
      <c r="AB60">
        <f t="shared" si="17"/>
        <v>0</v>
      </c>
      <c r="AC60">
        <f t="shared" si="17"/>
        <v>0</v>
      </c>
      <c r="AD60">
        <f t="shared" si="17"/>
        <v>0</v>
      </c>
      <c r="AE60">
        <f t="shared" si="17"/>
        <v>0</v>
      </c>
    </row>
    <row r="61" spans="1:31" x14ac:dyDescent="0.35">
      <c r="V61" t="s">
        <v>134</v>
      </c>
    </row>
    <row r="62" spans="1:31" x14ac:dyDescent="0.35">
      <c r="V62" t="str">
        <f>V47</f>
        <v>Investigation and Testing</v>
      </c>
      <c r="W62">
        <f>W47</f>
        <v>1</v>
      </c>
      <c r="X62">
        <f t="shared" ref="X62:AE62" si="18">X47</f>
        <v>1</v>
      </c>
      <c r="Y62">
        <f t="shared" si="18"/>
        <v>1</v>
      </c>
      <c r="Z62">
        <f t="shared" si="18"/>
        <v>1</v>
      </c>
      <c r="AA62">
        <f t="shared" si="18"/>
        <v>1</v>
      </c>
      <c r="AB62">
        <f t="shared" si="18"/>
        <v>1</v>
      </c>
      <c r="AC62">
        <f t="shared" si="18"/>
        <v>1</v>
      </c>
      <c r="AD62">
        <f t="shared" si="18"/>
        <v>1</v>
      </c>
      <c r="AE62">
        <f t="shared" si="18"/>
        <v>1</v>
      </c>
    </row>
  </sheetData>
  <mergeCells count="2">
    <mergeCell ref="A17:B17"/>
    <mergeCell ref="C22:G22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8BF3-A317-4B91-A2AC-D2190B24725B}">
  <dimension ref="A3:AA13"/>
  <sheetViews>
    <sheetView workbookViewId="0">
      <selection activeCell="B13" sqref="B13"/>
    </sheetView>
  </sheetViews>
  <sheetFormatPr defaultRowHeight="14.5" x14ac:dyDescent="0.35"/>
  <cols>
    <col min="1" max="1" width="37.1796875" bestFit="1" customWidth="1"/>
    <col min="2" max="7" width="11.54296875" bestFit="1" customWidth="1"/>
    <col min="9" max="9" width="12.54296875" bestFit="1" customWidth="1"/>
    <col min="11" max="11" width="11.54296875" bestFit="1" customWidth="1"/>
    <col min="12" max="12" width="25.7265625" bestFit="1" customWidth="1"/>
    <col min="13" max="13" width="12.54296875" bestFit="1" customWidth="1"/>
    <col min="14" max="27" width="14.26953125" bestFit="1" customWidth="1"/>
  </cols>
  <sheetData>
    <row r="3" spans="1:27" x14ac:dyDescent="0.35">
      <c r="B3" s="531" t="s">
        <v>381</v>
      </c>
      <c r="C3" s="531" t="s">
        <v>328</v>
      </c>
      <c r="D3" s="531" t="s">
        <v>382</v>
      </c>
      <c r="E3" s="531" t="s">
        <v>326</v>
      </c>
      <c r="F3" s="531" t="s">
        <v>325</v>
      </c>
      <c r="G3" s="531" t="s">
        <v>324</v>
      </c>
      <c r="I3" s="531" t="s">
        <v>383</v>
      </c>
      <c r="M3" s="531">
        <v>2025</v>
      </c>
      <c r="N3" s="531">
        <v>2026</v>
      </c>
      <c r="O3" s="531">
        <v>2027</v>
      </c>
      <c r="P3" s="531">
        <v>2028</v>
      </c>
      <c r="Q3" s="531">
        <v>2029</v>
      </c>
      <c r="R3" s="531">
        <v>2030</v>
      </c>
      <c r="S3" s="531">
        <v>2031</v>
      </c>
      <c r="T3" s="531">
        <v>2032</v>
      </c>
      <c r="U3" s="531">
        <v>2033</v>
      </c>
      <c r="V3" s="531">
        <v>2034</v>
      </c>
      <c r="W3" s="531">
        <v>2035</v>
      </c>
      <c r="X3" s="531">
        <v>2036</v>
      </c>
      <c r="Y3" s="531">
        <v>2037</v>
      </c>
      <c r="Z3" s="531">
        <v>2038</v>
      </c>
      <c r="AA3" s="531">
        <v>2039</v>
      </c>
    </row>
    <row r="4" spans="1:27" x14ac:dyDescent="0.35">
      <c r="A4" t="s">
        <v>384</v>
      </c>
      <c r="B4" s="532">
        <v>35299714.475651719</v>
      </c>
      <c r="C4" s="532">
        <v>34730410.79964529</v>
      </c>
      <c r="D4" s="532">
        <v>27341583.0150024</v>
      </c>
      <c r="E4" s="532">
        <v>22188181.863639005</v>
      </c>
      <c r="F4" s="532">
        <v>18748883.800000001</v>
      </c>
      <c r="G4" s="533">
        <v>16915951.428808186</v>
      </c>
      <c r="I4" s="534">
        <f>SUM(C4:G4)</f>
        <v>119925010.90709488</v>
      </c>
      <c r="L4" t="s">
        <v>385</v>
      </c>
      <c r="M4" s="535">
        <v>16379632.029373197</v>
      </c>
      <c r="N4" s="286">
        <v>17759417.716841199</v>
      </c>
      <c r="O4" s="286">
        <v>24770270.274856199</v>
      </c>
      <c r="P4" s="286">
        <v>19554941.419704199</v>
      </c>
      <c r="Q4" s="286">
        <v>12218018.647441199</v>
      </c>
      <c r="R4" s="286">
        <v>14473657.298861198</v>
      </c>
      <c r="S4" s="286">
        <v>18381722.653031196</v>
      </c>
      <c r="T4" s="286">
        <v>17480325.146081194</v>
      </c>
      <c r="U4" s="286">
        <v>33372529.744359199</v>
      </c>
      <c r="V4" s="286">
        <v>24445532.281491201</v>
      </c>
      <c r="W4" s="286">
        <v>18309888.097841196</v>
      </c>
      <c r="X4" s="286">
        <v>17355409.535921201</v>
      </c>
      <c r="Y4" s="286">
        <v>18496307.083106194</v>
      </c>
      <c r="Z4" s="286">
        <v>25062902.145261198</v>
      </c>
      <c r="AA4" s="286">
        <v>17663939.607080199</v>
      </c>
    </row>
    <row r="5" spans="1:27" x14ac:dyDescent="0.35">
      <c r="A5" t="s">
        <v>386</v>
      </c>
      <c r="C5" s="532">
        <v>41821550.93</v>
      </c>
      <c r="D5" s="532">
        <v>31401911.779999997</v>
      </c>
      <c r="E5" s="532">
        <v>22752300.789999999</v>
      </c>
      <c r="F5" s="532">
        <v>17161259.900000002</v>
      </c>
      <c r="G5" s="532">
        <v>20782497.84</v>
      </c>
      <c r="I5" s="534">
        <f>SUM(C5:G5)</f>
        <v>133919521.24000001</v>
      </c>
      <c r="L5" t="s">
        <v>387</v>
      </c>
      <c r="M5" s="535">
        <f>'[1]Estimated Expenditure'!G6</f>
        <v>16113331.340512855</v>
      </c>
      <c r="N5" s="535">
        <f>'[1]Estimated Expenditure'!H6</f>
        <v>17493117.027980857</v>
      </c>
      <c r="O5" s="535">
        <f>'[1]Estimated Expenditure'!I6</f>
        <v>24503969.585995857</v>
      </c>
      <c r="P5" s="535">
        <f>'[1]Estimated Expenditure'!J6</f>
        <v>19288640.730843857</v>
      </c>
      <c r="Q5" s="535">
        <f>'[1]Estimated Expenditure'!K6</f>
        <v>11951717.958580857</v>
      </c>
      <c r="R5" s="535">
        <f>'[1]Estimated Expenditure'!L6</f>
        <v>14207356.610000856</v>
      </c>
      <c r="S5" s="535">
        <f>'[1]Estimated Expenditure'!M6</f>
        <v>18115421.964170855</v>
      </c>
      <c r="T5" s="535">
        <f>'[1]Estimated Expenditure'!N6</f>
        <v>17214024.457220852</v>
      </c>
      <c r="U5" s="535">
        <f>'[1]Estimated Expenditure'!O6</f>
        <v>33106229.055498857</v>
      </c>
      <c r="V5" s="535">
        <f>'[1]Estimated Expenditure'!P6</f>
        <v>24179231.592630859</v>
      </c>
      <c r="W5" s="535">
        <f>'[1]Estimated Expenditure'!Q6</f>
        <v>18043587.408980854</v>
      </c>
      <c r="X5" s="535">
        <f>'[1]Estimated Expenditure'!R6</f>
        <v>17089108.847060859</v>
      </c>
      <c r="Y5" s="535">
        <f>'[1]Estimated Expenditure'!S6</f>
        <v>18230006.394245852</v>
      </c>
      <c r="Z5" s="535">
        <f>'[1]Estimated Expenditure'!T6</f>
        <v>24796601.456400856</v>
      </c>
      <c r="AA5" s="535">
        <f>'[1]Estimated Expenditure'!U6</f>
        <v>17397638.918219857</v>
      </c>
    </row>
    <row r="10" spans="1:27" x14ac:dyDescent="0.35">
      <c r="A10" t="s">
        <v>388</v>
      </c>
      <c r="B10" s="534">
        <f>I5-I4</f>
        <v>13994510.332905129</v>
      </c>
    </row>
    <row r="11" spans="1:27" x14ac:dyDescent="0.35">
      <c r="A11" t="s">
        <v>389</v>
      </c>
      <c r="B11" s="534">
        <v>10000000</v>
      </c>
    </row>
    <row r="12" spans="1:27" x14ac:dyDescent="0.35">
      <c r="A12" t="s">
        <v>390</v>
      </c>
      <c r="B12" s="534">
        <f>B11-B10</f>
        <v>-3994510.3329051286</v>
      </c>
    </row>
    <row r="13" spans="1:27" x14ac:dyDescent="0.35">
      <c r="A13" t="s">
        <v>391</v>
      </c>
      <c r="B13" s="204">
        <f>B12/COUNT($M$3:$AA$3)</f>
        <v>-266300.68886034191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D890E70F785E43BCA2809917CA3643" ma:contentTypeVersion="10" ma:contentTypeDescription="Create a new document." ma:contentTypeScope="" ma:versionID="1b18f5fbab921467efe7d8623f59c9c4">
  <xsd:schema xmlns:xsd="http://www.w3.org/2001/XMLSchema" xmlns:xs="http://www.w3.org/2001/XMLSchema" xmlns:p="http://schemas.microsoft.com/office/2006/metadata/properties" xmlns:ns2="52a7e7ef-e36f-49ef-90e2-26acfe27b46b" xmlns:ns3="ED3D1E8A-121B-48EC-8A38-7731583FB292" targetNamespace="http://schemas.microsoft.com/office/2006/metadata/properties" ma:root="true" ma:fieldsID="d6ae0d9bda3999dbad23006bb0ac68aa" ns2:_="" ns3:_="">
    <xsd:import namespace="52a7e7ef-e36f-49ef-90e2-26acfe27b46b"/>
    <xsd:import namespace="ED3D1E8A-121B-48EC-8A38-7731583FB292"/>
    <xsd:element name="properties">
      <xsd:complexType>
        <xsd:sequence>
          <xsd:element name="documentManagement">
            <xsd:complexType>
              <xsd:all>
                <xsd:element ref="ns2:ne420da494b64624bac41fe6dde9c99f" minOccurs="0"/>
                <xsd:element ref="ns2:TaxCatchAll" minOccurs="0"/>
                <xsd:element ref="ns2:TaxCatchAllLabel" minOccurs="0"/>
                <xsd:element ref="ns3:Versioning_x0020_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a7e7ef-e36f-49ef-90e2-26acfe27b46b" elementFormDefault="qualified">
    <xsd:import namespace="http://schemas.microsoft.com/office/2006/documentManagement/types"/>
    <xsd:import namespace="http://schemas.microsoft.com/office/infopath/2007/PartnerControls"/>
    <xsd:element name="ne420da494b64624bac41fe6dde9c99f" ma:index="8" nillable="true" ma:taxonomy="true" ma:internalName="ne420da494b64624bac41fe6dde9c99f" ma:taxonomyFieldName="Document_x0020_Classification" ma:displayName="Document Classification" ma:default="-1;#Official|49a0c8b2-12ae-422e-9628-3ffc294c3135" ma:fieldId="{7e420da4-94b6-4624-bac4-1fe6dde9c99f}" ma:sspId="df38297e-b6ef-4fe9-9927-a88912cceed9" ma:termSetId="8ee116b4-90e4-4b0b-9ca1-3a60e3b94fe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description="" ma:hidden="true" ma:list="{ece09b00-bc5d-461c-8c86-99c3192770de}" ma:internalName="TaxCatchAll" ma:showField="CatchAllData" ma:web="8abf59a7-b1d5-479d-8512-e909c8dea6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{ece09b00-bc5d-461c-8c86-99c3192770de}" ma:internalName="TaxCatchAllLabel" ma:readOnly="true" ma:showField="CatchAllDataLabel" ma:web="8abf59a7-b1d5-479d-8512-e909c8dea6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3D1E8A-121B-48EC-8A38-7731583FB292" elementFormDefault="qualified">
    <xsd:import namespace="http://schemas.microsoft.com/office/2006/documentManagement/types"/>
    <xsd:import namespace="http://schemas.microsoft.com/office/infopath/2007/PartnerControls"/>
    <xsd:element name="Versioning_x0020_Details" ma:index="12" nillable="true" ma:displayName="Versioning Details" ma:internalName="Versioning_x0020_Details" ma:readOnly="fals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: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2a7e7ef-e36f-49ef-90e2-26acfe27b46b">
      <Value>1</Value>
    </TaxCatchAll>
    <Versioning_x0020_Details xmlns="ED3D1E8A-121B-48EC-8A38-7731583FB292" xsi:nil="true"/>
    <ne420da494b64624bac41fe6dde9c99f xmlns="52a7e7ef-e36f-49ef-90e2-26acfe27b46b">
      <Terms xmlns="http://schemas.microsoft.com/office/infopath/2007/PartnerControls">
        <TermInfo xmlns="http://schemas.microsoft.com/office/infopath/2007/PartnerControls">
          <TermName xmlns="http://schemas.microsoft.com/office/infopath/2007/PartnerControls">Official</TermName>
          <TermId xmlns="http://schemas.microsoft.com/office/infopath/2007/PartnerControls">49a0c8b2-12ae-422e-9628-3ffc294c3135</TermId>
        </TermInfo>
      </Terms>
    </ne420da494b64624bac41fe6dde9c99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88A17F-08BF-482E-B26F-BC1C72ECC2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a7e7ef-e36f-49ef-90e2-26acfe27b46b"/>
    <ds:schemaRef ds:uri="ED3D1E8A-121B-48EC-8A38-7731583FB2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B33A90-CC31-471B-97C2-14CF1D453C17}">
  <ds:schemaRefs>
    <ds:schemaRef ds:uri="http://schemas.microsoft.com/office/2006/metadata/properties"/>
    <ds:schemaRef ds:uri="http://schemas.microsoft.com/office/infopath/2007/PartnerControls"/>
    <ds:schemaRef ds:uri="52a7e7ef-e36f-49ef-90e2-26acfe27b46b"/>
    <ds:schemaRef ds:uri="ED3D1E8A-121B-48EC-8A38-7731583FB292"/>
  </ds:schemaRefs>
</ds:datastoreItem>
</file>

<file path=customXml/itemProps3.xml><?xml version="1.0" encoding="utf-8"?>
<ds:datastoreItem xmlns:ds="http://schemas.openxmlformats.org/officeDocument/2006/customXml" ds:itemID="{A49FFA89-6110-47F4-8010-98094BF167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30YP_2020-21</vt:lpstr>
      <vt:lpstr>Estimated Expenditure</vt:lpstr>
      <vt:lpstr>Structures</vt:lpstr>
      <vt:lpstr>Adjustment</vt:lpstr>
      <vt:lpstr>Pavement</vt:lpstr>
      <vt:lpstr>5YP Impact - Adjustment</vt:lpstr>
      <vt:lpstr>'30YP_2020-21'!Print_Area</vt:lpstr>
    </vt:vector>
  </TitlesOfParts>
  <Company>Connect Plus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Ulivieri</dc:creator>
  <cp:lastModifiedBy>Clement Nicolas</cp:lastModifiedBy>
  <cp:lastPrinted>2019-01-30T20:47:13Z</cp:lastPrinted>
  <dcterms:created xsi:type="dcterms:W3CDTF">2018-01-29T17:26:19Z</dcterms:created>
  <dcterms:modified xsi:type="dcterms:W3CDTF">2020-01-30T16:52:59Z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0x010100D6D890E70F785E43BCA2809917CA3643</vt:lpwstr>
  </property>
  <property fmtid="{D5CDD505-2E9C-101B-9397-08002B2CF9AE}" pid="3" name="Document_x0020_Classification">
    <vt:lpwstr/>
  </property>
  <property fmtid="{D5CDD505-2E9C-101B-9397-08002B2CF9AE}" pid="4" name="Document Classification">
    <vt:lpwstr>1;#Official|49a0c8b2-12ae-422e-9628-3ffc294c3135</vt:lpwstr>
  </property>
</Properties>
</file>